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75" windowWidth="15480" windowHeight="7650" tabRatio="847" firstSheet="27" activeTab="35"/>
  </bookViews>
  <sheets>
    <sheet name="resgral" sheetId="1" r:id="rId1"/>
    <sheet name="necfinan" sheetId="2" r:id="rId2"/>
    <sheet name="recursos" sheetId="3" r:id="rId3"/>
    <sheet name="conjurisd" sheetId="4" r:id="rId4"/>
    <sheet name="erogcons" sheetId="5" r:id="rId5"/>
    <sheet name="INT" sheetId="6" r:id="rId6"/>
    <sheet name="INT A" sheetId="10" r:id="rId7"/>
    <sheet name="INT B" sheetId="11" r:id="rId8"/>
    <sheet name="GOB" sheetId="7" r:id="rId9"/>
    <sheet name="GOB A" sheetId="8" r:id="rId10"/>
    <sheet name="GOB B" sheetId="9" r:id="rId11"/>
    <sheet name="HAC" sheetId="13" r:id="rId12"/>
    <sheet name="HAC A" sheetId="14" r:id="rId13"/>
    <sheet name="HAC B" sheetId="15" r:id="rId14"/>
    <sheet name="OBRAS" sheetId="18" r:id="rId15"/>
    <sheet name="OBRAS A" sheetId="17" r:id="rId16"/>
    <sheet name="OBRAS B" sheetId="16" r:id="rId17"/>
    <sheet name="OBRAS C" sheetId="19" r:id="rId18"/>
    <sheet name="OBRAS D" sheetId="20" r:id="rId19"/>
    <sheet name="ESPEC A" sheetId="22" r:id="rId20"/>
    <sheet name="ESPEC B" sheetId="21" r:id="rId21"/>
    <sheet name="OJURIS A" sheetId="24" r:id="rId22"/>
    <sheet name="OJURIS B" sheetId="23" r:id="rId23"/>
    <sheet name="FIN_FUNC" sheetId="25" r:id="rId24"/>
    <sheet name="FIN_FUNC A" sheetId="26" r:id="rId25"/>
    <sheet name="anexo A" sheetId="27" r:id="rId26"/>
    <sheet name="comparación" sheetId="28" r:id="rId27"/>
    <sheet name="Anexo B" sheetId="29" r:id="rId28"/>
    <sheet name="plan de obras2015" sheetId="31" r:id="rId29"/>
    <sheet name="supuestos" sheetId="33" r:id="rId30"/>
    <sheet name="indicadores" sheetId="30" r:id="rId31"/>
    <sheet name="proyecciones" sheetId="32" r:id="rId32"/>
    <sheet name="costo tributario" sheetId="34" r:id="rId33"/>
    <sheet name="subsidios" sheetId="35" r:id="rId34"/>
    <sheet name="pparti" sheetId="36" r:id="rId35"/>
    <sheet name="resubpart" sheetId="37" r:id="rId36"/>
  </sheets>
  <externalReferences>
    <externalReference r:id="rId37"/>
  </externalReferences>
  <definedNames>
    <definedName name="_xlnm.Print_Area" localSheetId="25">'anexo A'!$A$1:$C$48</definedName>
    <definedName name="_xlnm.Print_Area" localSheetId="27">'Anexo B'!$A$1:$D$34</definedName>
    <definedName name="_xlnm.Print_Area" localSheetId="26">comparación!$A$1:$J$56</definedName>
    <definedName name="_xlnm.Print_Area" localSheetId="3">conjurisd!$A$1:$J$28</definedName>
    <definedName name="_xlnm.Print_Area" localSheetId="30">indicadores!$A$1:$F$33</definedName>
    <definedName name="_xlnm.Print_Area" localSheetId="21">'OJURIS A'!$A$1:$D$31</definedName>
    <definedName name="_xlnm.Print_Area" localSheetId="28">'plan de obras2015'!$A$1:$F$104</definedName>
    <definedName name="_xlnm.Print_Area" localSheetId="31">proyecciones!$A$1:$D$67</definedName>
    <definedName name="_xlnm.Print_Area" localSheetId="0">resgral!$A$1:$G$41</definedName>
    <definedName name="_xlnm.Print_Titles" localSheetId="20">'ESPEC B'!$1:$10</definedName>
    <definedName name="_xlnm.Print_Titles" localSheetId="23">FIN_FUNC!$1:$10</definedName>
    <definedName name="_xlnm.Print_Titles" localSheetId="24">'FIN_FUNC A'!$1:$9</definedName>
    <definedName name="_xlnm.Print_Titles" localSheetId="10">'GOB B'!$1:$10</definedName>
    <definedName name="_xlnm.Print_Titles" localSheetId="13">'HAC B'!$1:$10</definedName>
    <definedName name="_xlnm.Print_Titles" localSheetId="7">'INT B'!$1:$10</definedName>
    <definedName name="_xlnm.Print_Titles" localSheetId="16">'OBRAS B'!$1:$10</definedName>
    <definedName name="_xlnm.Print_Titles" localSheetId="17">'OBRAS C'!$1:$10</definedName>
    <definedName name="_xlnm.Print_Titles" localSheetId="18">'OBRAS D'!$1:$10</definedName>
    <definedName name="_xlnm.Print_Titles" localSheetId="22">'OJURIS B'!$1:$5</definedName>
    <definedName name="_xlnm.Print_Titles" localSheetId="28">'plan de obras2015'!$1:$6</definedName>
    <definedName name="_xlnm.Print_Titles" localSheetId="2">recursos!$1:$9</definedName>
    <definedName name="_xlnm.Print_Titles" localSheetId="35">resubpart!$1:$9</definedName>
  </definedNames>
  <calcPr calcId="124519"/>
</workbook>
</file>

<file path=xl/calcChain.xml><?xml version="1.0" encoding="utf-8"?>
<calcChain xmlns="http://schemas.openxmlformats.org/spreadsheetml/2006/main">
  <c r="C64" i="32"/>
  <c r="B64"/>
  <c r="E99" i="31"/>
  <c r="F34"/>
  <c r="F33"/>
  <c r="E51" i="36"/>
  <c r="D74" i="31" l="1"/>
  <c r="E88"/>
  <c r="E79"/>
  <c r="E74"/>
  <c r="F87"/>
  <c r="F85"/>
  <c r="E61"/>
  <c r="E20"/>
  <c r="E41"/>
  <c r="F35"/>
  <c r="F32"/>
  <c r="F31"/>
  <c r="F23"/>
  <c r="F24"/>
  <c r="F25"/>
  <c r="F47"/>
  <c r="F39"/>
  <c r="F48"/>
  <c r="F38"/>
  <c r="F30"/>
  <c r="F37"/>
  <c r="F60"/>
  <c r="F59"/>
  <c r="F26"/>
  <c r="F36"/>
  <c r="D53" i="32"/>
  <c r="C22" i="24"/>
  <c r="H171" i="3"/>
  <c r="C55" i="19"/>
  <c r="C56"/>
  <c r="C57"/>
  <c r="C58"/>
  <c r="C59"/>
  <c r="C60"/>
  <c r="C61"/>
  <c r="C62"/>
  <c r="C63"/>
  <c r="C64"/>
  <c r="M66" i="9"/>
  <c r="H108" i="3" l="1"/>
  <c r="H105"/>
  <c r="H153"/>
  <c r="F23" i="23" l="1"/>
  <c r="E23"/>
  <c r="H41" i="20"/>
  <c r="F41"/>
  <c r="E41"/>
  <c r="D41"/>
  <c r="H23"/>
  <c r="G23"/>
  <c r="F23"/>
  <c r="E23"/>
  <c r="D23"/>
  <c r="I41" i="19"/>
  <c r="G41"/>
  <c r="F41"/>
  <c r="E41"/>
  <c r="D41"/>
  <c r="I23"/>
  <c r="H23"/>
  <c r="G23"/>
  <c r="F23"/>
  <c r="E23"/>
  <c r="D23"/>
  <c r="J41" i="16"/>
  <c r="I41"/>
  <c r="H41"/>
  <c r="G41"/>
  <c r="F41"/>
  <c r="E41"/>
  <c r="J23"/>
  <c r="I23"/>
  <c r="I24"/>
  <c r="H24"/>
  <c r="H23"/>
  <c r="G23"/>
  <c r="F23"/>
  <c r="E23"/>
  <c r="D23"/>
  <c r="I41" i="15"/>
  <c r="H41"/>
  <c r="G41"/>
  <c r="F41"/>
  <c r="I23"/>
  <c r="H23"/>
  <c r="G23"/>
  <c r="F23"/>
  <c r="E23"/>
  <c r="D23"/>
  <c r="L41" i="9"/>
  <c r="K41"/>
  <c r="J41"/>
  <c r="I41"/>
  <c r="H41"/>
  <c r="G41"/>
  <c r="F41"/>
  <c r="E41"/>
  <c r="D41"/>
  <c r="D40"/>
  <c r="D23" i="21"/>
  <c r="M23" i="9"/>
  <c r="L23"/>
  <c r="K23"/>
  <c r="J23"/>
  <c r="I23"/>
  <c r="H23"/>
  <c r="G23"/>
  <c r="F23"/>
  <c r="E23"/>
  <c r="D23"/>
  <c r="E41" i="23"/>
  <c r="E41" i="11"/>
  <c r="F23" i="21"/>
  <c r="H23" i="11"/>
  <c r="G23"/>
  <c r="F23"/>
  <c r="E23"/>
  <c r="D23"/>
  <c r="H66" i="9" l="1"/>
  <c r="E30" i="22" l="1"/>
  <c r="E29" s="1"/>
  <c r="E28"/>
  <c r="E27"/>
  <c r="E26"/>
  <c r="E22"/>
  <c r="E21"/>
  <c r="C40" i="21"/>
  <c r="C41"/>
  <c r="C42"/>
  <c r="C43"/>
  <c r="C44"/>
  <c r="C45"/>
  <c r="C46"/>
  <c r="C47"/>
  <c r="C34"/>
  <c r="C35"/>
  <c r="C36"/>
  <c r="C37"/>
  <c r="C38"/>
  <c r="C39"/>
  <c r="C33"/>
  <c r="C15"/>
  <c r="C16"/>
  <c r="C17"/>
  <c r="C18"/>
  <c r="C19"/>
  <c r="C20"/>
  <c r="C21"/>
  <c r="C22"/>
  <c r="C23"/>
  <c r="C24"/>
  <c r="C25"/>
  <c r="C26"/>
  <c r="C14"/>
  <c r="G90"/>
  <c r="F90"/>
  <c r="G75"/>
  <c r="F75"/>
  <c r="G49"/>
  <c r="F49"/>
  <c r="G28"/>
  <c r="F28"/>
  <c r="F108" l="1"/>
  <c r="G108"/>
  <c r="E17" i="22"/>
  <c r="E18"/>
  <c r="H99" i="3"/>
  <c r="C97" i="16"/>
  <c r="C98"/>
  <c r="C99"/>
  <c r="C100"/>
  <c r="C101"/>
  <c r="C102"/>
  <c r="C103"/>
  <c r="C104"/>
  <c r="C105"/>
  <c r="C106"/>
  <c r="E107"/>
  <c r="F107"/>
  <c r="G107"/>
  <c r="H107"/>
  <c r="I107"/>
  <c r="J107"/>
  <c r="C73"/>
  <c r="C74"/>
  <c r="C75"/>
  <c r="C76"/>
  <c r="C77"/>
  <c r="C78"/>
  <c r="C79"/>
  <c r="C80"/>
  <c r="C81"/>
  <c r="C82"/>
  <c r="C83"/>
  <c r="C84"/>
  <c r="C85"/>
  <c r="C86"/>
  <c r="C87"/>
  <c r="C88"/>
  <c r="C89"/>
  <c r="C90"/>
  <c r="C91"/>
  <c r="E92"/>
  <c r="F92"/>
  <c r="G92"/>
  <c r="H92"/>
  <c r="I92"/>
  <c r="J92"/>
  <c r="C51"/>
  <c r="C52"/>
  <c r="C53"/>
  <c r="C54"/>
  <c r="C55"/>
  <c r="C56"/>
  <c r="C57"/>
  <c r="C58"/>
  <c r="C59"/>
  <c r="C60"/>
  <c r="C61"/>
  <c r="C62"/>
  <c r="C63"/>
  <c r="C64"/>
  <c r="F66"/>
  <c r="G66"/>
  <c r="H66"/>
  <c r="I66"/>
  <c r="J66"/>
  <c r="C33"/>
  <c r="C34"/>
  <c r="C35"/>
  <c r="C36"/>
  <c r="C37"/>
  <c r="C38"/>
  <c r="C39"/>
  <c r="C40"/>
  <c r="C41"/>
  <c r="C42"/>
  <c r="C43"/>
  <c r="C44"/>
  <c r="F46"/>
  <c r="G46"/>
  <c r="H46"/>
  <c r="I46"/>
  <c r="J46"/>
  <c r="C15"/>
  <c r="C16"/>
  <c r="C17"/>
  <c r="C18"/>
  <c r="C19"/>
  <c r="C20"/>
  <c r="C21"/>
  <c r="C22"/>
  <c r="C23"/>
  <c r="C24"/>
  <c r="C25"/>
  <c r="C26"/>
  <c r="E28"/>
  <c r="F28"/>
  <c r="G28"/>
  <c r="H28"/>
  <c r="I28"/>
  <c r="J28"/>
  <c r="E107" i="15"/>
  <c r="F107"/>
  <c r="G107"/>
  <c r="H107"/>
  <c r="I107"/>
  <c r="J107"/>
  <c r="E92"/>
  <c r="F92"/>
  <c r="G92"/>
  <c r="H92"/>
  <c r="I92"/>
  <c r="J92"/>
  <c r="E107" i="9"/>
  <c r="F107"/>
  <c r="G107"/>
  <c r="H107"/>
  <c r="I107"/>
  <c r="J107"/>
  <c r="K107"/>
  <c r="L107"/>
  <c r="M107"/>
  <c r="E92"/>
  <c r="F92"/>
  <c r="G92"/>
  <c r="H92"/>
  <c r="I92"/>
  <c r="J92"/>
  <c r="K92"/>
  <c r="L92"/>
  <c r="M92"/>
  <c r="E66"/>
  <c r="F66"/>
  <c r="G66"/>
  <c r="I66"/>
  <c r="J66"/>
  <c r="K66"/>
  <c r="L66"/>
  <c r="D46"/>
  <c r="E46"/>
  <c r="F46"/>
  <c r="G46"/>
  <c r="H46"/>
  <c r="I46"/>
  <c r="J46"/>
  <c r="K46"/>
  <c r="L46"/>
  <c r="M46"/>
  <c r="E16" i="22" l="1"/>
  <c r="E70" i="26" s="1"/>
  <c r="B36" i="1" l="1"/>
  <c r="B27" i="29" l="1"/>
  <c r="B25"/>
  <c r="F102" i="31" l="1"/>
  <c r="F103" s="1"/>
  <c r="E103"/>
  <c r="D103"/>
  <c r="E100"/>
  <c r="D100"/>
  <c r="D104" s="1"/>
  <c r="F99"/>
  <c r="F100" s="1"/>
  <c r="F86"/>
  <c r="F84"/>
  <c r="F83"/>
  <c r="F82"/>
  <c r="F81"/>
  <c r="F88" s="1"/>
  <c r="D88"/>
  <c r="D79"/>
  <c r="F78"/>
  <c r="F77"/>
  <c r="F76"/>
  <c r="F71"/>
  <c r="F72"/>
  <c r="F73"/>
  <c r="F70"/>
  <c r="E89" l="1"/>
  <c r="F79"/>
  <c r="D89"/>
  <c r="F104"/>
  <c r="H116" i="16" s="1"/>
  <c r="E104" i="31"/>
  <c r="F74"/>
  <c r="F89" s="1"/>
  <c r="G116" i="16" s="1"/>
  <c r="D61" i="31"/>
  <c r="F45"/>
  <c r="F52"/>
  <c r="F51"/>
  <c r="F58"/>
  <c r="F56"/>
  <c r="F54"/>
  <c r="F50"/>
  <c r="F53"/>
  <c r="F57"/>
  <c r="F55"/>
  <c r="F46"/>
  <c r="D41"/>
  <c r="F40"/>
  <c r="F44"/>
  <c r="F29"/>
  <c r="F28"/>
  <c r="F27"/>
  <c r="F22"/>
  <c r="F15"/>
  <c r="F16"/>
  <c r="F17"/>
  <c r="F18"/>
  <c r="F19"/>
  <c r="F14"/>
  <c r="D20"/>
  <c r="H66" i="20"/>
  <c r="G66"/>
  <c r="F66"/>
  <c r="E66"/>
  <c r="I46" i="19"/>
  <c r="H46"/>
  <c r="G46"/>
  <c r="B40" i="1"/>
  <c r="D62" i="31" l="1"/>
  <c r="F41"/>
  <c r="F61"/>
  <c r="F49"/>
  <c r="E107" i="23"/>
  <c r="C25" i="24" s="1"/>
  <c r="H132" i="3" l="1"/>
  <c r="H151" l="1"/>
  <c r="H146" s="1"/>
  <c r="H147"/>
  <c r="F107" i="23"/>
  <c r="D25" i="24" s="1"/>
  <c r="E92" i="23"/>
  <c r="C20" i="24" s="1"/>
  <c r="F92" i="23"/>
  <c r="D20" i="24" s="1"/>
  <c r="E66" i="23"/>
  <c r="C19" i="24" s="1"/>
  <c r="F66" i="23"/>
  <c r="D19" i="24" s="1"/>
  <c r="E46" i="23"/>
  <c r="C18" i="24" s="1"/>
  <c r="F46" i="23"/>
  <c r="D18" i="24" s="1"/>
  <c r="E28" i="23"/>
  <c r="C17" i="24" s="1"/>
  <c r="F28" i="23"/>
  <c r="D17" i="24" s="1"/>
  <c r="D90" i="21"/>
  <c r="D25" i="22" s="1"/>
  <c r="C25" s="1"/>
  <c r="E90" i="21"/>
  <c r="E25" i="22" s="1"/>
  <c r="D75" i="21"/>
  <c r="D20" i="22" s="1"/>
  <c r="E75" i="21"/>
  <c r="E20" i="22" s="1"/>
  <c r="G70" i="26" s="1"/>
  <c r="D49" i="21"/>
  <c r="D19" i="22" s="1"/>
  <c r="E49" i="21"/>
  <c r="E19" i="22" s="1"/>
  <c r="F70" i="26" s="1"/>
  <c r="D28" i="21"/>
  <c r="D17" i="22" s="1"/>
  <c r="C17" s="1"/>
  <c r="E28" i="21"/>
  <c r="D107" i="20"/>
  <c r="E107"/>
  <c r="F107"/>
  <c r="G107"/>
  <c r="H107"/>
  <c r="D92"/>
  <c r="E92"/>
  <c r="F92"/>
  <c r="G92"/>
  <c r="H92"/>
  <c r="D66"/>
  <c r="D46"/>
  <c r="E46"/>
  <c r="F46"/>
  <c r="G46"/>
  <c r="H46"/>
  <c r="J18" i="17" s="1"/>
  <c r="D28" i="20"/>
  <c r="E28"/>
  <c r="F28"/>
  <c r="G28"/>
  <c r="H28"/>
  <c r="J17" i="17" s="1"/>
  <c r="D107" i="19"/>
  <c r="E107"/>
  <c r="F107"/>
  <c r="G107"/>
  <c r="H107"/>
  <c r="I107"/>
  <c r="G25" i="17" s="1"/>
  <c r="D92" i="19"/>
  <c r="E92"/>
  <c r="F92"/>
  <c r="G92"/>
  <c r="H92"/>
  <c r="I92"/>
  <c r="G20" i="17" s="1"/>
  <c r="D66" i="19"/>
  <c r="E66"/>
  <c r="F66"/>
  <c r="G66"/>
  <c r="H66"/>
  <c r="I66"/>
  <c r="G19" i="17" s="1"/>
  <c r="D46" i="19"/>
  <c r="E46"/>
  <c r="F46"/>
  <c r="D28"/>
  <c r="E28"/>
  <c r="F28"/>
  <c r="G28"/>
  <c r="H28"/>
  <c r="I28"/>
  <c r="D107" i="16"/>
  <c r="C25" i="17" s="1"/>
  <c r="E25"/>
  <c r="D92" i="16"/>
  <c r="C20" i="17" s="1"/>
  <c r="E20"/>
  <c r="D66" i="16"/>
  <c r="C19" i="17" s="1"/>
  <c r="E66" i="16"/>
  <c r="E19" i="17"/>
  <c r="D46" i="16"/>
  <c r="E46"/>
  <c r="D28"/>
  <c r="E121" i="15"/>
  <c r="F121"/>
  <c r="G121"/>
  <c r="H121"/>
  <c r="I121"/>
  <c r="J121"/>
  <c r="D121"/>
  <c r="C30" i="14" s="1"/>
  <c r="D107" i="15"/>
  <c r="D25" i="14"/>
  <c r="E25"/>
  <c r="F25"/>
  <c r="G25"/>
  <c r="H25"/>
  <c r="I25"/>
  <c r="D92" i="15"/>
  <c r="C20" i="14" s="1"/>
  <c r="D20"/>
  <c r="E20"/>
  <c r="F20"/>
  <c r="G20"/>
  <c r="H20"/>
  <c r="I20"/>
  <c r="D66" i="15"/>
  <c r="C19" i="14" s="1"/>
  <c r="E66" i="15"/>
  <c r="D19" i="14" s="1"/>
  <c r="F66" i="15"/>
  <c r="E19" i="14" s="1"/>
  <c r="G66" i="15"/>
  <c r="F19" i="14" s="1"/>
  <c r="H66" i="15"/>
  <c r="G19" i="14" s="1"/>
  <c r="I66" i="15"/>
  <c r="H19" i="14" s="1"/>
  <c r="J66" i="15"/>
  <c r="I19" i="14" s="1"/>
  <c r="D46" i="15"/>
  <c r="E46"/>
  <c r="F46"/>
  <c r="G46"/>
  <c r="H46"/>
  <c r="I46"/>
  <c r="J46"/>
  <c r="D28"/>
  <c r="E28"/>
  <c r="F28"/>
  <c r="G28"/>
  <c r="H28"/>
  <c r="I28"/>
  <c r="J28"/>
  <c r="D107" i="9"/>
  <c r="C25" i="8" s="1"/>
  <c r="E25"/>
  <c r="F25"/>
  <c r="G25"/>
  <c r="H25"/>
  <c r="I25"/>
  <c r="J25"/>
  <c r="K25"/>
  <c r="D92" i="9"/>
  <c r="C20" i="8" s="1"/>
  <c r="D20"/>
  <c r="E20"/>
  <c r="F20"/>
  <c r="G20"/>
  <c r="H20"/>
  <c r="I20"/>
  <c r="J20"/>
  <c r="K20"/>
  <c r="L20"/>
  <c r="D66" i="9"/>
  <c r="C19" i="8" s="1"/>
  <c r="D19"/>
  <c r="E19"/>
  <c r="F19"/>
  <c r="G19"/>
  <c r="H19"/>
  <c r="I19"/>
  <c r="J19"/>
  <c r="K19"/>
  <c r="L19"/>
  <c r="D28" i="9"/>
  <c r="E28"/>
  <c r="F28"/>
  <c r="G28"/>
  <c r="H28"/>
  <c r="I28"/>
  <c r="J28"/>
  <c r="K28"/>
  <c r="L28"/>
  <c r="M28"/>
  <c r="E107" i="11"/>
  <c r="F107"/>
  <c r="E25" i="10" s="1"/>
  <c r="G107" i="11"/>
  <c r="H107"/>
  <c r="F92"/>
  <c r="E20" i="10" s="1"/>
  <c r="G92" i="11"/>
  <c r="F20" i="10" s="1"/>
  <c r="H92" i="11"/>
  <c r="G20" i="10" s="1"/>
  <c r="F19" i="17" l="1"/>
  <c r="F20"/>
  <c r="E24" i="22"/>
  <c r="E23" s="1"/>
  <c r="J70" i="26"/>
  <c r="C19" i="22"/>
  <c r="C20"/>
  <c r="G125" i="19"/>
  <c r="E15" i="22"/>
  <c r="E14" s="1"/>
  <c r="E31" s="1"/>
  <c r="J16" i="17"/>
  <c r="E108" i="21"/>
  <c r="D18" i="22"/>
  <c r="C18" s="1"/>
  <c r="D20" i="17"/>
  <c r="F98" i="26"/>
  <c r="F17" i="18"/>
  <c r="F25" i="17"/>
  <c r="H20"/>
  <c r="H17" i="18" s="1"/>
  <c r="G48" i="26" s="1"/>
  <c r="D19" i="17"/>
  <c r="D16" i="18" s="1"/>
  <c r="D25" i="17"/>
  <c r="H19"/>
  <c r="H25"/>
  <c r="C6" i="37"/>
  <c r="G18" i="17"/>
  <c r="C112" i="20"/>
  <c r="C114"/>
  <c r="C116"/>
  <c r="C118"/>
  <c r="C120"/>
  <c r="C122"/>
  <c r="C123"/>
  <c r="C97"/>
  <c r="C98"/>
  <c r="C99"/>
  <c r="C100"/>
  <c r="C101"/>
  <c r="C102"/>
  <c r="C103"/>
  <c r="C104"/>
  <c r="C105"/>
  <c r="C106"/>
  <c r="C91"/>
  <c r="C71"/>
  <c r="C72"/>
  <c r="C73"/>
  <c r="C74"/>
  <c r="C75"/>
  <c r="C76"/>
  <c r="C77"/>
  <c r="C78"/>
  <c r="C79"/>
  <c r="C80"/>
  <c r="C81"/>
  <c r="C83"/>
  <c r="C84"/>
  <c r="C85"/>
  <c r="C86"/>
  <c r="C88"/>
  <c r="C89"/>
  <c r="C51"/>
  <c r="C52"/>
  <c r="C53"/>
  <c r="C54"/>
  <c r="C55"/>
  <c r="C56"/>
  <c r="C57"/>
  <c r="C58"/>
  <c r="C59"/>
  <c r="C60"/>
  <c r="C61"/>
  <c r="C62"/>
  <c r="C63"/>
  <c r="C64"/>
  <c r="C33"/>
  <c r="C34"/>
  <c r="C35"/>
  <c r="C36"/>
  <c r="C37"/>
  <c r="C38"/>
  <c r="C39"/>
  <c r="C40"/>
  <c r="C41"/>
  <c r="C42"/>
  <c r="C43"/>
  <c r="C44"/>
  <c r="C45"/>
  <c r="C15"/>
  <c r="C16"/>
  <c r="C17"/>
  <c r="C18"/>
  <c r="C19"/>
  <c r="C20"/>
  <c r="C21"/>
  <c r="C22"/>
  <c r="C23"/>
  <c r="C24"/>
  <c r="C25"/>
  <c r="C26"/>
  <c r="C27"/>
  <c r="C15" i="19"/>
  <c r="C16"/>
  <c r="C17"/>
  <c r="C18"/>
  <c r="C19"/>
  <c r="C20"/>
  <c r="C21"/>
  <c r="C22"/>
  <c r="C23"/>
  <c r="C24"/>
  <c r="C25"/>
  <c r="C26"/>
  <c r="C27"/>
  <c r="H71" i="3"/>
  <c r="H66"/>
  <c r="H57"/>
  <c r="H53"/>
  <c r="H51" s="1"/>
  <c r="H50" s="1"/>
  <c r="B28" i="35"/>
  <c r="B39" i="1"/>
  <c r="B31" i="35"/>
  <c r="D90" i="23"/>
  <c r="C90" i="20"/>
  <c r="C82"/>
  <c r="C87"/>
  <c r="C23" i="28"/>
  <c r="B17" i="29"/>
  <c r="B20" i="32"/>
  <c r="B20" i="34"/>
  <c r="D29" i="32"/>
  <c r="D20"/>
  <c r="A7"/>
  <c r="G32" i="28"/>
  <c r="B30"/>
  <c r="G25"/>
  <c r="B19" i="29" s="1"/>
  <c r="B25" i="28"/>
  <c r="B21"/>
  <c r="G18"/>
  <c r="G16" s="1"/>
  <c r="B18"/>
  <c r="I93" i="26"/>
  <c r="H93"/>
  <c r="E88"/>
  <c r="F88"/>
  <c r="G88"/>
  <c r="H88"/>
  <c r="I88"/>
  <c r="J88"/>
  <c r="K88"/>
  <c r="L88"/>
  <c r="M88"/>
  <c r="B53" i="32"/>
  <c r="D50"/>
  <c r="D49" s="1"/>
  <c r="B29" i="1"/>
  <c r="C34" i="28" s="1"/>
  <c r="B30" i="32" s="1"/>
  <c r="C50"/>
  <c r="C49" s="1"/>
  <c r="H78" i="3"/>
  <c r="G17" i="5"/>
  <c r="E16" i="4" s="1"/>
  <c r="D70" i="26"/>
  <c r="E70" i="25" s="1"/>
  <c r="E69" s="1"/>
  <c r="D25" i="26"/>
  <c r="E25" i="25" s="1"/>
  <c r="F69" i="26"/>
  <c r="G69"/>
  <c r="H69"/>
  <c r="I69"/>
  <c r="J69"/>
  <c r="K69"/>
  <c r="L69"/>
  <c r="M69"/>
  <c r="N69"/>
  <c r="E69"/>
  <c r="A8" i="27"/>
  <c r="A6" i="31" s="1"/>
  <c r="D123" i="23"/>
  <c r="D122"/>
  <c r="F121"/>
  <c r="D30" i="24" s="1"/>
  <c r="E121" i="23"/>
  <c r="C30" i="24" s="1"/>
  <c r="D120" i="23"/>
  <c r="F119"/>
  <c r="D28" i="24" s="1"/>
  <c r="I24" i="5" s="1"/>
  <c r="I23" i="4" s="1"/>
  <c r="E119" i="23"/>
  <c r="C28" i="24" s="1"/>
  <c r="D118" i="23"/>
  <c r="F117"/>
  <c r="D27" i="24" s="1"/>
  <c r="E117" i="23"/>
  <c r="C27" i="24" s="1"/>
  <c r="D116" i="23"/>
  <c r="F115"/>
  <c r="D26" i="24" s="1"/>
  <c r="E115" i="23"/>
  <c r="D114"/>
  <c r="F113"/>
  <c r="D22" i="24" s="1"/>
  <c r="D112" i="23"/>
  <c r="F111"/>
  <c r="D21" i="24" s="1"/>
  <c r="H27" i="26" s="1"/>
  <c r="H26" s="1"/>
  <c r="E111" i="23"/>
  <c r="C21" i="24" s="1"/>
  <c r="D106" i="23"/>
  <c r="D105"/>
  <c r="D104"/>
  <c r="D103"/>
  <c r="D102"/>
  <c r="D101"/>
  <c r="D100"/>
  <c r="D99"/>
  <c r="D98"/>
  <c r="D97"/>
  <c r="D96"/>
  <c r="D91"/>
  <c r="D89"/>
  <c r="D88"/>
  <c r="D87"/>
  <c r="D86"/>
  <c r="D85"/>
  <c r="D84"/>
  <c r="D83"/>
  <c r="D82"/>
  <c r="D81"/>
  <c r="D80"/>
  <c r="D79"/>
  <c r="D78"/>
  <c r="D77"/>
  <c r="D76"/>
  <c r="D75"/>
  <c r="D74"/>
  <c r="D73"/>
  <c r="D72"/>
  <c r="D71"/>
  <c r="D70"/>
  <c r="D64"/>
  <c r="D63"/>
  <c r="D62"/>
  <c r="D61"/>
  <c r="D60"/>
  <c r="D59"/>
  <c r="D58"/>
  <c r="D57"/>
  <c r="D56"/>
  <c r="D55"/>
  <c r="D54"/>
  <c r="D53"/>
  <c r="D52"/>
  <c r="D51"/>
  <c r="D50"/>
  <c r="D45"/>
  <c r="D44"/>
  <c r="D43"/>
  <c r="D42"/>
  <c r="D41"/>
  <c r="D40"/>
  <c r="D39"/>
  <c r="D38"/>
  <c r="D37"/>
  <c r="D36"/>
  <c r="D35"/>
  <c r="D34"/>
  <c r="D33"/>
  <c r="D32"/>
  <c r="D27"/>
  <c r="D26"/>
  <c r="D25"/>
  <c r="D24"/>
  <c r="D23"/>
  <c r="D22"/>
  <c r="D21"/>
  <c r="D20"/>
  <c r="D19"/>
  <c r="D18"/>
  <c r="D17"/>
  <c r="D16"/>
  <c r="D15"/>
  <c r="D14"/>
  <c r="C106" i="21"/>
  <c r="C105"/>
  <c r="D104"/>
  <c r="D30" i="22" s="1"/>
  <c r="C30" s="1"/>
  <c r="C103" i="21"/>
  <c r="D102"/>
  <c r="C101"/>
  <c r="D100"/>
  <c r="D27" i="22" s="1"/>
  <c r="C27" s="1"/>
  <c r="C99" i="21"/>
  <c r="D98"/>
  <c r="D26" i="22" s="1"/>
  <c r="C26" s="1"/>
  <c r="C97" i="21"/>
  <c r="D96"/>
  <c r="D22" i="22" s="1"/>
  <c r="C22" s="1"/>
  <c r="C95" i="21"/>
  <c r="D94"/>
  <c r="C89"/>
  <c r="C88"/>
  <c r="C87"/>
  <c r="C86"/>
  <c r="C85"/>
  <c r="C84"/>
  <c r="C83"/>
  <c r="C82"/>
  <c r="C81"/>
  <c r="C80"/>
  <c r="C79"/>
  <c r="C74"/>
  <c r="C73"/>
  <c r="C72"/>
  <c r="C71"/>
  <c r="C70"/>
  <c r="C69"/>
  <c r="C68"/>
  <c r="C67"/>
  <c r="C66"/>
  <c r="C65"/>
  <c r="C64"/>
  <c r="C63"/>
  <c r="C62"/>
  <c r="C61"/>
  <c r="C60"/>
  <c r="C59"/>
  <c r="C58"/>
  <c r="C57"/>
  <c r="C56"/>
  <c r="C55"/>
  <c r="C54"/>
  <c r="C53"/>
  <c r="F42" i="26"/>
  <c r="F41" s="1"/>
  <c r="F39" s="1"/>
  <c r="C27" i="21"/>
  <c r="H121" i="20"/>
  <c r="J30" i="17" s="1"/>
  <c r="J29" s="1"/>
  <c r="G121" i="20"/>
  <c r="I30" i="17" s="1"/>
  <c r="F121" i="20"/>
  <c r="E121"/>
  <c r="D121"/>
  <c r="H119"/>
  <c r="J28" i="17" s="1"/>
  <c r="G119" i="20"/>
  <c r="I28" i="17" s="1"/>
  <c r="I24" i="18" s="1"/>
  <c r="M82" i="26" s="1"/>
  <c r="M81" s="1"/>
  <c r="F119" i="20"/>
  <c r="E119"/>
  <c r="D119"/>
  <c r="H117"/>
  <c r="J27" i="17" s="1"/>
  <c r="J23" i="18" s="1"/>
  <c r="L49" i="26" s="1"/>
  <c r="G117" i="20"/>
  <c r="I27" i="17" s="1"/>
  <c r="F117" i="20"/>
  <c r="E117"/>
  <c r="D117"/>
  <c r="H115"/>
  <c r="J26" i="17" s="1"/>
  <c r="G115" i="20"/>
  <c r="I26" i="17" s="1"/>
  <c r="F115" i="20"/>
  <c r="E115"/>
  <c r="D115"/>
  <c r="H26" i="17" s="1"/>
  <c r="H22" i="18" s="1"/>
  <c r="H113" i="20"/>
  <c r="J22" i="17" s="1"/>
  <c r="J19" i="18" s="1"/>
  <c r="I49" i="26" s="1"/>
  <c r="G113" i="20"/>
  <c r="F113"/>
  <c r="E113"/>
  <c r="D113"/>
  <c r="H111"/>
  <c r="G111"/>
  <c r="F111"/>
  <c r="E111"/>
  <c r="D111"/>
  <c r="J25" i="17"/>
  <c r="I25"/>
  <c r="C96" i="20"/>
  <c r="C107" s="1"/>
  <c r="J20" i="17"/>
  <c r="J17" i="18" s="1"/>
  <c r="G49" i="26" s="1"/>
  <c r="I20" i="17"/>
  <c r="I17" i="18" s="1"/>
  <c r="G82" i="26" s="1"/>
  <c r="G81" s="1"/>
  <c r="C70" i="20"/>
  <c r="J19" i="17"/>
  <c r="J16" i="18" s="1"/>
  <c r="F49" i="26" s="1"/>
  <c r="I19" i="17"/>
  <c r="I16" i="18" s="1"/>
  <c r="F82" i="26" s="1"/>
  <c r="F81" s="1"/>
  <c r="C50" i="20"/>
  <c r="I18" i="17"/>
  <c r="H18"/>
  <c r="C32" i="20"/>
  <c r="I17" i="17"/>
  <c r="C14" i="20"/>
  <c r="C123" i="19"/>
  <c r="C122"/>
  <c r="I121"/>
  <c r="G30" i="17" s="1"/>
  <c r="H121" i="19"/>
  <c r="F121"/>
  <c r="E121"/>
  <c r="D121"/>
  <c r="C120"/>
  <c r="I119"/>
  <c r="G28" i="17" s="1"/>
  <c r="G24" i="18" s="1"/>
  <c r="H119" i="19"/>
  <c r="F119"/>
  <c r="E119"/>
  <c r="D119"/>
  <c r="C118"/>
  <c r="I117"/>
  <c r="G27" i="17" s="1"/>
  <c r="G23" i="18" s="1"/>
  <c r="H117" i="19"/>
  <c r="F117"/>
  <c r="E117"/>
  <c r="D117"/>
  <c r="F27" i="17" s="1"/>
  <c r="F23" i="18" s="1"/>
  <c r="C116" i="19"/>
  <c r="I115"/>
  <c r="G26" i="17" s="1"/>
  <c r="H115" i="19"/>
  <c r="F115"/>
  <c r="E115"/>
  <c r="D115"/>
  <c r="C114"/>
  <c r="I113"/>
  <c r="G22" i="17" s="1"/>
  <c r="G19" i="18" s="1"/>
  <c r="H113" i="19"/>
  <c r="F113"/>
  <c r="E113"/>
  <c r="D113"/>
  <c r="C112"/>
  <c r="I111"/>
  <c r="H111"/>
  <c r="F111"/>
  <c r="E111"/>
  <c r="D111"/>
  <c r="J98" i="26"/>
  <c r="C106" i="19"/>
  <c r="C105"/>
  <c r="C104"/>
  <c r="C103"/>
  <c r="C102"/>
  <c r="C101"/>
  <c r="C100"/>
  <c r="C99"/>
  <c r="C98"/>
  <c r="C97"/>
  <c r="C96"/>
  <c r="G17" i="18"/>
  <c r="G98" i="26"/>
  <c r="C91" i="19"/>
  <c r="C90"/>
  <c r="C89"/>
  <c r="C88"/>
  <c r="C87"/>
  <c r="C86"/>
  <c r="C85"/>
  <c r="C84"/>
  <c r="C83"/>
  <c r="C82"/>
  <c r="C81"/>
  <c r="C80"/>
  <c r="C79"/>
  <c r="C78"/>
  <c r="C77"/>
  <c r="C76"/>
  <c r="C75"/>
  <c r="C74"/>
  <c r="C73"/>
  <c r="C72"/>
  <c r="C71"/>
  <c r="C70"/>
  <c r="C54"/>
  <c r="C53"/>
  <c r="C52"/>
  <c r="C51"/>
  <c r="C50"/>
  <c r="F18" i="17"/>
  <c r="C45" i="19"/>
  <c r="C44"/>
  <c r="C43"/>
  <c r="C42"/>
  <c r="C41"/>
  <c r="C40"/>
  <c r="C39"/>
  <c r="C38"/>
  <c r="C37"/>
  <c r="C36"/>
  <c r="C35"/>
  <c r="C34"/>
  <c r="C33"/>
  <c r="C32"/>
  <c r="C14"/>
  <c r="I22" i="17"/>
  <c r="I19" i="18" s="1"/>
  <c r="H17" i="17"/>
  <c r="H16" s="1"/>
  <c r="C119" i="19"/>
  <c r="G16" i="18"/>
  <c r="F99" i="26"/>
  <c r="F124" i="19"/>
  <c r="F125" s="1"/>
  <c r="C49" i="21"/>
  <c r="D117" i="23"/>
  <c r="G16" i="5"/>
  <c r="J27" i="26"/>
  <c r="J26" s="1"/>
  <c r="I21" i="5"/>
  <c r="I20" i="4" s="1"/>
  <c r="G21" i="5"/>
  <c r="E20" i="4" s="1"/>
  <c r="J24" i="26"/>
  <c r="J23" s="1"/>
  <c r="M24"/>
  <c r="M23" s="1"/>
  <c r="G24" i="5"/>
  <c r="K27" i="26"/>
  <c r="K26" s="1"/>
  <c r="I22" i="5"/>
  <c r="D24" i="24"/>
  <c r="I17" i="5"/>
  <c r="G27" i="26"/>
  <c r="G26" s="1"/>
  <c r="G24"/>
  <c r="G23" s="1"/>
  <c r="B20" i="24"/>
  <c r="F27" i="26"/>
  <c r="F26" s="1"/>
  <c r="I16" i="5"/>
  <c r="F24" i="26"/>
  <c r="F23" s="1"/>
  <c r="H21" i="18"/>
  <c r="J48" i="26" s="1"/>
  <c r="H16" i="18"/>
  <c r="F48" i="26" s="1"/>
  <c r="I29" i="17"/>
  <c r="I26" i="18"/>
  <c r="I25" s="1"/>
  <c r="H27" i="17"/>
  <c r="H23" i="18" s="1"/>
  <c r="L48" i="26" s="1"/>
  <c r="J21" i="17"/>
  <c r="J18" i="18" s="1"/>
  <c r="H49" i="26" s="1"/>
  <c r="I21" i="17"/>
  <c r="I18" i="18" s="1"/>
  <c r="I21"/>
  <c r="J82" i="26" s="1"/>
  <c r="J81" s="1"/>
  <c r="J21" i="18"/>
  <c r="J49" i="26" s="1"/>
  <c r="H23" i="5"/>
  <c r="G22" i="4" s="1"/>
  <c r="L42" i="26"/>
  <c r="L41" s="1"/>
  <c r="L39" s="1"/>
  <c r="H26" i="5"/>
  <c r="H25" s="1"/>
  <c r="C29" i="22"/>
  <c r="D29"/>
  <c r="N42" i="26"/>
  <c r="N41" s="1"/>
  <c r="N39" s="1"/>
  <c r="I42"/>
  <c r="I41" s="1"/>
  <c r="I39" s="1"/>
  <c r="C96" i="21"/>
  <c r="C100"/>
  <c r="H21" i="5"/>
  <c r="G20" i="4" s="1"/>
  <c r="J42" i="26"/>
  <c r="J41" s="1"/>
  <c r="J39" s="1"/>
  <c r="G42"/>
  <c r="G41" s="1"/>
  <c r="G39" s="1"/>
  <c r="H17" i="5"/>
  <c r="G16" i="4" s="1"/>
  <c r="F17" i="17"/>
  <c r="D16" i="24"/>
  <c r="B18"/>
  <c r="F21" i="18"/>
  <c r="G21"/>
  <c r="J99" i="26" s="1"/>
  <c r="F16" i="18"/>
  <c r="G21" i="17"/>
  <c r="G18" i="18" s="1"/>
  <c r="B25" i="24"/>
  <c r="B19"/>
  <c r="D121" i="23"/>
  <c r="C28" i="21"/>
  <c r="C104"/>
  <c r="C111" i="20"/>
  <c r="C123" i="16"/>
  <c r="C122"/>
  <c r="J121"/>
  <c r="E30" i="17" s="1"/>
  <c r="I121" i="16"/>
  <c r="H121"/>
  <c r="G121"/>
  <c r="F121"/>
  <c r="E121"/>
  <c r="N93" i="26" s="1"/>
  <c r="D121" i="16"/>
  <c r="C30" i="17" s="1"/>
  <c r="C29" s="1"/>
  <c r="C120" i="16"/>
  <c r="J119"/>
  <c r="E28" i="17" s="1"/>
  <c r="E24" i="18" s="1"/>
  <c r="I119" i="16"/>
  <c r="H119"/>
  <c r="G119"/>
  <c r="M73" i="26" s="1"/>
  <c r="M72" s="1"/>
  <c r="F119" i="16"/>
  <c r="E119"/>
  <c r="D119"/>
  <c r="C28" i="17" s="1"/>
  <c r="C24" i="18" s="1"/>
  <c r="M92" i="26" s="1"/>
  <c r="C118" i="16"/>
  <c r="J117"/>
  <c r="E27" i="17" s="1"/>
  <c r="E23" i="18" s="1"/>
  <c r="I117" i="16"/>
  <c r="H117"/>
  <c r="G117"/>
  <c r="L73" i="26" s="1"/>
  <c r="L72" s="1"/>
  <c r="F117" i="16"/>
  <c r="E117"/>
  <c r="D117"/>
  <c r="C27" i="17" s="1"/>
  <c r="C23" i="18" s="1"/>
  <c r="L92" i="26" s="1"/>
  <c r="J115" i="16"/>
  <c r="I115"/>
  <c r="H115"/>
  <c r="G115"/>
  <c r="E115"/>
  <c r="K93" i="26" s="1"/>
  <c r="D115" i="16"/>
  <c r="C26" i="17" s="1"/>
  <c r="C114" i="16"/>
  <c r="J113"/>
  <c r="I113"/>
  <c r="H113"/>
  <c r="G113"/>
  <c r="F113"/>
  <c r="E113"/>
  <c r="D113"/>
  <c r="C112"/>
  <c r="J111"/>
  <c r="I111"/>
  <c r="H111"/>
  <c r="G111"/>
  <c r="H73" i="26" s="1"/>
  <c r="H72" s="1"/>
  <c r="F111" i="16"/>
  <c r="E111"/>
  <c r="D21" i="17" s="1"/>
  <c r="D18" i="18" s="1"/>
  <c r="D111" i="16"/>
  <c r="J96" i="26"/>
  <c r="J95"/>
  <c r="J73"/>
  <c r="J72" s="1"/>
  <c r="J94"/>
  <c r="J93"/>
  <c r="C96" i="16"/>
  <c r="G96" i="26"/>
  <c r="G95"/>
  <c r="G73"/>
  <c r="G72" s="1"/>
  <c r="G94"/>
  <c r="G93"/>
  <c r="C17" i="18"/>
  <c r="G92" i="26" s="1"/>
  <c r="C72" i="16"/>
  <c r="C71"/>
  <c r="C70"/>
  <c r="F96" i="26"/>
  <c r="F95"/>
  <c r="F73"/>
  <c r="F72" s="1"/>
  <c r="F94"/>
  <c r="F93"/>
  <c r="C16" i="18"/>
  <c r="C50" i="16"/>
  <c r="C18" i="17"/>
  <c r="C45" i="16"/>
  <c r="C32"/>
  <c r="C27"/>
  <c r="C14"/>
  <c r="C28" s="1"/>
  <c r="E96" i="26"/>
  <c r="E93"/>
  <c r="E94"/>
  <c r="E97"/>
  <c r="E95"/>
  <c r="E16" i="18"/>
  <c r="F97" i="26"/>
  <c r="C119" i="16"/>
  <c r="J97" i="26"/>
  <c r="E17" i="18"/>
  <c r="G97" i="26"/>
  <c r="E17" i="17"/>
  <c r="C117" i="16"/>
  <c r="E18" i="17"/>
  <c r="D17"/>
  <c r="E21"/>
  <c r="E18" i="18" s="1"/>
  <c r="C21" i="17"/>
  <c r="D21" i="18"/>
  <c r="C21"/>
  <c r="B17" i="24"/>
  <c r="C16"/>
  <c r="G15" i="5" s="1"/>
  <c r="D16" i="22"/>
  <c r="C16"/>
  <c r="G14" i="4" s="1"/>
  <c r="D18" i="17"/>
  <c r="E73" i="26"/>
  <c r="C17" i="17"/>
  <c r="H16" i="5"/>
  <c r="G15" i="4" s="1"/>
  <c r="C114" i="15"/>
  <c r="C116"/>
  <c r="C118"/>
  <c r="C120"/>
  <c r="C122"/>
  <c r="F27" i="1" s="1"/>
  <c r="C123" i="15"/>
  <c r="F28" i="1" s="1"/>
  <c r="C112" i="15"/>
  <c r="J111"/>
  <c r="J113"/>
  <c r="I22" i="14" s="1"/>
  <c r="I19" i="13" s="1"/>
  <c r="I21" i="26" s="1"/>
  <c r="J115" i="15"/>
  <c r="I26" i="14" s="1"/>
  <c r="I22" i="13" s="1"/>
  <c r="K21" i="26" s="1"/>
  <c r="J117" i="15"/>
  <c r="I27" i="14" s="1"/>
  <c r="I23" i="13" s="1"/>
  <c r="L21" i="26" s="1"/>
  <c r="J119" i="15"/>
  <c r="I28" i="14" s="1"/>
  <c r="I24" i="13" s="1"/>
  <c r="M21" i="26" s="1"/>
  <c r="C97" i="15"/>
  <c r="C98"/>
  <c r="C99"/>
  <c r="C100"/>
  <c r="C101"/>
  <c r="C102"/>
  <c r="C103"/>
  <c r="C104"/>
  <c r="C105"/>
  <c r="C106"/>
  <c r="C96"/>
  <c r="C71"/>
  <c r="C72"/>
  <c r="C73"/>
  <c r="C74"/>
  <c r="C75"/>
  <c r="C76"/>
  <c r="C77"/>
  <c r="C78"/>
  <c r="C79"/>
  <c r="C80"/>
  <c r="C81"/>
  <c r="C82"/>
  <c r="C83"/>
  <c r="C84"/>
  <c r="C85"/>
  <c r="C86"/>
  <c r="C87"/>
  <c r="C88"/>
  <c r="C89"/>
  <c r="C90"/>
  <c r="C91"/>
  <c r="C70"/>
  <c r="I17" i="13"/>
  <c r="G21" i="26" s="1"/>
  <c r="C51" i="15"/>
  <c r="C52"/>
  <c r="C53"/>
  <c r="C54"/>
  <c r="C55"/>
  <c r="C56"/>
  <c r="C57"/>
  <c r="C58"/>
  <c r="C59"/>
  <c r="C60"/>
  <c r="C61"/>
  <c r="C62"/>
  <c r="C63"/>
  <c r="C64"/>
  <c r="C65"/>
  <c r="C50"/>
  <c r="I16" i="13"/>
  <c r="C33" i="15"/>
  <c r="C34"/>
  <c r="C35"/>
  <c r="C36"/>
  <c r="C37"/>
  <c r="C38"/>
  <c r="C39"/>
  <c r="C40"/>
  <c r="C41"/>
  <c r="C42"/>
  <c r="C43"/>
  <c r="C44"/>
  <c r="C45"/>
  <c r="C32"/>
  <c r="I18" i="14"/>
  <c r="C15" i="15"/>
  <c r="C16"/>
  <c r="C17"/>
  <c r="C18"/>
  <c r="C19"/>
  <c r="C20"/>
  <c r="C21"/>
  <c r="C22"/>
  <c r="C23"/>
  <c r="C24"/>
  <c r="C25"/>
  <c r="C26"/>
  <c r="C27"/>
  <c r="C14"/>
  <c r="I17" i="14"/>
  <c r="H30"/>
  <c r="H29" s="1"/>
  <c r="H26" i="13" s="1"/>
  <c r="N20" i="26" s="1"/>
  <c r="G30" i="14"/>
  <c r="G29" s="1"/>
  <c r="G26" i="13" s="1"/>
  <c r="F30" i="14"/>
  <c r="F29" s="1"/>
  <c r="F26" i="13" s="1"/>
  <c r="N18" i="26" s="1"/>
  <c r="E30" i="14"/>
  <c r="E29" s="1"/>
  <c r="E26" i="13" s="1"/>
  <c r="D30" i="14"/>
  <c r="D29" s="1"/>
  <c r="D26" i="13" s="1"/>
  <c r="N16" i="26" s="1"/>
  <c r="I119" i="15"/>
  <c r="H28" i="14" s="1"/>
  <c r="H24" i="13" s="1"/>
  <c r="M20" i="26" s="1"/>
  <c r="H119" i="15"/>
  <c r="G28" i="14" s="1"/>
  <c r="G24" i="13" s="1"/>
  <c r="M19" i="26" s="1"/>
  <c r="G119" i="15"/>
  <c r="F28" i="14" s="1"/>
  <c r="F24" i="13" s="1"/>
  <c r="M18" i="26" s="1"/>
  <c r="F119" i="15"/>
  <c r="E119"/>
  <c r="D28" i="14" s="1"/>
  <c r="D24" i="13" s="1"/>
  <c r="M16" i="26" s="1"/>
  <c r="D119" i="15"/>
  <c r="C28" i="14" s="1"/>
  <c r="C24" i="13" s="1"/>
  <c r="M15" i="26" s="1"/>
  <c r="I117" i="15"/>
  <c r="H27" i="14" s="1"/>
  <c r="H23" i="13" s="1"/>
  <c r="L20" i="26" s="1"/>
  <c r="H117" i="15"/>
  <c r="G27" i="14" s="1"/>
  <c r="G23" i="13" s="1"/>
  <c r="L19" i="26" s="1"/>
  <c r="G117" i="15"/>
  <c r="F27" i="14" s="1"/>
  <c r="F23" i="13" s="1"/>
  <c r="L18" i="26" s="1"/>
  <c r="F117" i="15"/>
  <c r="E27" i="14" s="1"/>
  <c r="E23" i="13" s="1"/>
  <c r="L17" i="26" s="1"/>
  <c r="E117" i="15"/>
  <c r="D117"/>
  <c r="C27" i="14" s="1"/>
  <c r="I115" i="15"/>
  <c r="H26" i="14" s="1"/>
  <c r="H115" i="15"/>
  <c r="G26" i="14" s="1"/>
  <c r="G115" i="15"/>
  <c r="F26" i="14" s="1"/>
  <c r="F115" i="15"/>
  <c r="E26" i="14" s="1"/>
  <c r="E115" i="15"/>
  <c r="D26" i="14" s="1"/>
  <c r="D115" i="15"/>
  <c r="I113"/>
  <c r="H22" i="14" s="1"/>
  <c r="H19" i="13" s="1"/>
  <c r="I20" i="26" s="1"/>
  <c r="H113" i="15"/>
  <c r="G22" i="14" s="1"/>
  <c r="G19" i="13" s="1"/>
  <c r="I19" i="26" s="1"/>
  <c r="G113" i="15"/>
  <c r="F22" i="14" s="1"/>
  <c r="F19" i="13" s="1"/>
  <c r="I18" i="26" s="1"/>
  <c r="F113" i="15"/>
  <c r="E22" i="14" s="1"/>
  <c r="E19" i="13" s="1"/>
  <c r="I17" i="26" s="1"/>
  <c r="E113" i="15"/>
  <c r="D22" i="14" s="1"/>
  <c r="D19" i="13" s="1"/>
  <c r="I16" i="26" s="1"/>
  <c r="D113" i="15"/>
  <c r="C22" i="14" s="1"/>
  <c r="I111" i="15"/>
  <c r="H111"/>
  <c r="G21" i="14" s="1"/>
  <c r="G18" i="13" s="1"/>
  <c r="H19" i="26" s="1"/>
  <c r="G111" i="15"/>
  <c r="F111"/>
  <c r="E21" i="14" s="1"/>
  <c r="E18" i="13" s="1"/>
  <c r="E111" i="15"/>
  <c r="D111"/>
  <c r="C25" i="14"/>
  <c r="H17" i="13"/>
  <c r="G20" i="26" s="1"/>
  <c r="G17" i="13"/>
  <c r="G19" i="26" s="1"/>
  <c r="F17" i="13"/>
  <c r="G18" i="26" s="1"/>
  <c r="E17" i="13"/>
  <c r="G17" i="26" s="1"/>
  <c r="D17" i="13"/>
  <c r="G16" i="26" s="1"/>
  <c r="H16" i="13"/>
  <c r="F20" i="26" s="1"/>
  <c r="G16" i="13"/>
  <c r="F19" i="26" s="1"/>
  <c r="F16" i="13"/>
  <c r="F18" i="26" s="1"/>
  <c r="E16" i="13"/>
  <c r="F17" i="26" s="1"/>
  <c r="D16" i="13"/>
  <c r="H18" i="14"/>
  <c r="G18"/>
  <c r="F18"/>
  <c r="D18"/>
  <c r="C18"/>
  <c r="C123" i="11"/>
  <c r="C122"/>
  <c r="H121"/>
  <c r="G121"/>
  <c r="F121"/>
  <c r="E121"/>
  <c r="D121"/>
  <c r="C120"/>
  <c r="H119"/>
  <c r="G28" i="10" s="1"/>
  <c r="G24" i="6" s="1"/>
  <c r="G119" i="11"/>
  <c r="F28" i="10" s="1"/>
  <c r="F24" i="6" s="1"/>
  <c r="F119" i="11"/>
  <c r="E28" i="10" s="1"/>
  <c r="E24" i="6" s="1"/>
  <c r="E119" i="11"/>
  <c r="D28" i="10" s="1"/>
  <c r="D119" i="11"/>
  <c r="C118"/>
  <c r="H117"/>
  <c r="G27" i="10" s="1"/>
  <c r="G23" i="6" s="1"/>
  <c r="L35" i="26" s="1"/>
  <c r="G117" i="11"/>
  <c r="F27" i="10" s="1"/>
  <c r="F23" i="6" s="1"/>
  <c r="L34" i="26" s="1"/>
  <c r="F117" i="11"/>
  <c r="E117"/>
  <c r="D27" i="10" s="1"/>
  <c r="D23" i="6" s="1"/>
  <c r="L32" i="26" s="1"/>
  <c r="D117" i="11"/>
  <c r="C116"/>
  <c r="H115"/>
  <c r="G26" i="10" s="1"/>
  <c r="G22" i="6" s="1"/>
  <c r="K35" i="26" s="1"/>
  <c r="G115" i="11"/>
  <c r="F26" i="10" s="1"/>
  <c r="F22" i="6" s="1"/>
  <c r="K34" i="26" s="1"/>
  <c r="F115" i="11"/>
  <c r="E26" i="10" s="1"/>
  <c r="E22" i="6" s="1"/>
  <c r="K33" i="26" s="1"/>
  <c r="E115" i="11"/>
  <c r="D26" i="10" s="1"/>
  <c r="D22" i="6" s="1"/>
  <c r="K32" i="26" s="1"/>
  <c r="D115" i="11"/>
  <c r="C26" i="10" s="1"/>
  <c r="C22" i="6" s="1"/>
  <c r="K31" i="26" s="1"/>
  <c r="C114" i="11"/>
  <c r="H113"/>
  <c r="G113"/>
  <c r="F113"/>
  <c r="E113"/>
  <c r="D113"/>
  <c r="C22" i="10" s="1"/>
  <c r="C112" i="11"/>
  <c r="H111"/>
  <c r="G21" i="10" s="1"/>
  <c r="G18" i="6" s="1"/>
  <c r="H35" i="26" s="1"/>
  <c r="G111" i="11"/>
  <c r="F111"/>
  <c r="E111"/>
  <c r="D111"/>
  <c r="G25" i="10"/>
  <c r="F25"/>
  <c r="D25"/>
  <c r="D107" i="11"/>
  <c r="C25" i="10" s="1"/>
  <c r="C21" i="6" s="1"/>
  <c r="J31" i="26" s="1"/>
  <c r="C106" i="11"/>
  <c r="C105"/>
  <c r="C104"/>
  <c r="C103"/>
  <c r="C102"/>
  <c r="C101"/>
  <c r="C100"/>
  <c r="C99"/>
  <c r="C98"/>
  <c r="C97"/>
  <c r="C96"/>
  <c r="G17" i="6"/>
  <c r="G35" i="26" s="1"/>
  <c r="F17" i="6"/>
  <c r="G34" i="26" s="1"/>
  <c r="E17" i="6"/>
  <c r="G33" i="26" s="1"/>
  <c r="E92" i="11"/>
  <c r="D92"/>
  <c r="C20" i="10" s="1"/>
  <c r="C17" i="6" s="1"/>
  <c r="G31" i="26" s="1"/>
  <c r="C91" i="11"/>
  <c r="C90"/>
  <c r="C89"/>
  <c r="C88"/>
  <c r="C87"/>
  <c r="C86"/>
  <c r="C85"/>
  <c r="C84"/>
  <c r="C83"/>
  <c r="C82"/>
  <c r="C81"/>
  <c r="C80"/>
  <c r="C79"/>
  <c r="C78"/>
  <c r="C77"/>
  <c r="C76"/>
  <c r="C75"/>
  <c r="C74"/>
  <c r="C73"/>
  <c r="C72"/>
  <c r="C71"/>
  <c r="C70"/>
  <c r="H66"/>
  <c r="G66"/>
  <c r="F66"/>
  <c r="E66"/>
  <c r="D66"/>
  <c r="C65"/>
  <c r="C64"/>
  <c r="C63"/>
  <c r="C62"/>
  <c r="C61"/>
  <c r="C60"/>
  <c r="C59"/>
  <c r="C58"/>
  <c r="C57"/>
  <c r="C56"/>
  <c r="C55"/>
  <c r="C54"/>
  <c r="C53"/>
  <c r="C52"/>
  <c r="C51"/>
  <c r="C50"/>
  <c r="H46"/>
  <c r="G18" i="10" s="1"/>
  <c r="G46" i="11"/>
  <c r="F18" i="10" s="1"/>
  <c r="F46" i="11"/>
  <c r="E18" i="10" s="1"/>
  <c r="E46" i="11"/>
  <c r="D18" i="10" s="1"/>
  <c r="D46" i="11"/>
  <c r="C18" i="10" s="1"/>
  <c r="C45" i="11"/>
  <c r="C44"/>
  <c r="C43"/>
  <c r="C42"/>
  <c r="C41"/>
  <c r="C40"/>
  <c r="C39"/>
  <c r="C38"/>
  <c r="C37"/>
  <c r="C36"/>
  <c r="C35"/>
  <c r="C34"/>
  <c r="C33"/>
  <c r="C32"/>
  <c r="H28"/>
  <c r="G28"/>
  <c r="F28"/>
  <c r="E28"/>
  <c r="D28"/>
  <c r="C17" i="10" s="1"/>
  <c r="C27" i="11"/>
  <c r="C26"/>
  <c r="C25"/>
  <c r="C24"/>
  <c r="C23"/>
  <c r="C22"/>
  <c r="C21"/>
  <c r="C20"/>
  <c r="C19"/>
  <c r="C18"/>
  <c r="C17"/>
  <c r="C16"/>
  <c r="C15"/>
  <c r="C14"/>
  <c r="C116" i="9"/>
  <c r="M115"/>
  <c r="L26" i="8" s="1"/>
  <c r="L115" i="9"/>
  <c r="K26" i="8" s="1"/>
  <c r="K115" i="9"/>
  <c r="J26" i="8" s="1"/>
  <c r="J22" i="7" s="1"/>
  <c r="K38" i="26" s="1"/>
  <c r="J115" i="9"/>
  <c r="I26" i="8" s="1"/>
  <c r="I115" i="9"/>
  <c r="H26" i="8" s="1"/>
  <c r="H115" i="9"/>
  <c r="G26" i="8" s="1"/>
  <c r="G22" i="7" s="1"/>
  <c r="K53" i="26" s="1"/>
  <c r="K52" s="1"/>
  <c r="G115" i="9"/>
  <c r="F115"/>
  <c r="E26" i="8" s="1"/>
  <c r="E115" i="9"/>
  <c r="D26" i="8" s="1"/>
  <c r="E121" i="9"/>
  <c r="F121"/>
  <c r="E30" i="8" s="1"/>
  <c r="G121" i="9"/>
  <c r="H121"/>
  <c r="G30" i="8" s="1"/>
  <c r="I121" i="9"/>
  <c r="H30" i="8" s="1"/>
  <c r="J121" i="9"/>
  <c r="I30" i="8" s="1"/>
  <c r="I29" s="1"/>
  <c r="K121" i="9"/>
  <c r="J30" i="8" s="1"/>
  <c r="J26" i="7" s="1"/>
  <c r="L121" i="9"/>
  <c r="K30" i="8" s="1"/>
  <c r="M121" i="9"/>
  <c r="L30" i="8" s="1"/>
  <c r="L26" i="7" s="1"/>
  <c r="D121" i="9"/>
  <c r="C122"/>
  <c r="C120"/>
  <c r="M119"/>
  <c r="L28" i="8" s="1"/>
  <c r="L24" i="7" s="1"/>
  <c r="M78" i="26" s="1"/>
  <c r="M77" s="1"/>
  <c r="M63" s="1"/>
  <c r="L119" i="9"/>
  <c r="K28" i="8" s="1"/>
  <c r="K24" i="7" s="1"/>
  <c r="M45" i="26" s="1"/>
  <c r="M44" s="1"/>
  <c r="K119" i="9"/>
  <c r="J28" i="8" s="1"/>
  <c r="J24" i="7" s="1"/>
  <c r="M38" i="26" s="1"/>
  <c r="J119" i="9"/>
  <c r="I28" i="8" s="1"/>
  <c r="I24" i="7" s="1"/>
  <c r="M84" i="26" s="1"/>
  <c r="M83" s="1"/>
  <c r="I119" i="9"/>
  <c r="H28" i="8" s="1"/>
  <c r="H24" i="7" s="1"/>
  <c r="M60" i="26" s="1"/>
  <c r="M54" s="1"/>
  <c r="H119" i="9"/>
  <c r="G28" i="8" s="1"/>
  <c r="G24" i="7" s="1"/>
  <c r="M53" i="26" s="1"/>
  <c r="M52" s="1"/>
  <c r="G119" i="9"/>
  <c r="F28" i="8" s="1"/>
  <c r="F119" i="9"/>
  <c r="E28" i="8" s="1"/>
  <c r="E24" i="7" s="1"/>
  <c r="M47" i="26" s="1"/>
  <c r="E119" i="9"/>
  <c r="D28" i="8" s="1"/>
  <c r="D24" i="7" s="1"/>
  <c r="D119" i="9"/>
  <c r="C118"/>
  <c r="M117"/>
  <c r="L27" i="8" s="1"/>
  <c r="L23" i="7" s="1"/>
  <c r="L78" i="26" s="1"/>
  <c r="L77" s="1"/>
  <c r="L117" i="9"/>
  <c r="K27" i="8" s="1"/>
  <c r="K23" i="7" s="1"/>
  <c r="K117" i="9"/>
  <c r="J27" i="8" s="1"/>
  <c r="J23" i="7" s="1"/>
  <c r="L38" i="26" s="1"/>
  <c r="J117" i="9"/>
  <c r="I27" i="8" s="1"/>
  <c r="I23" i="7" s="1"/>
  <c r="L84" i="26" s="1"/>
  <c r="L83" s="1"/>
  <c r="I117" i="9"/>
  <c r="H27" i="8" s="1"/>
  <c r="H23" i="7" s="1"/>
  <c r="L60" i="26" s="1"/>
  <c r="L54" s="1"/>
  <c r="H117" i="9"/>
  <c r="G27" i="8" s="1"/>
  <c r="G23" i="7" s="1"/>
  <c r="L53" i="26" s="1"/>
  <c r="L52" s="1"/>
  <c r="G117" i="9"/>
  <c r="F27" i="8" s="1"/>
  <c r="F117" i="9"/>
  <c r="E117"/>
  <c r="D27" i="8" s="1"/>
  <c r="D23" i="7" s="1"/>
  <c r="L37" i="26" s="1"/>
  <c r="D117" i="9"/>
  <c r="C27" i="8" s="1"/>
  <c r="C23" i="7" s="1"/>
  <c r="C114" i="9"/>
  <c r="M113"/>
  <c r="L22" i="8" s="1"/>
  <c r="L19" i="7" s="1"/>
  <c r="I78" i="26" s="1"/>
  <c r="I77" s="1"/>
  <c r="L113" i="9"/>
  <c r="K22" i="8" s="1"/>
  <c r="K19" i="7" s="1"/>
  <c r="I45" i="26" s="1"/>
  <c r="I44" s="1"/>
  <c r="K113" i="9"/>
  <c r="J22" i="8" s="1"/>
  <c r="J19" i="7" s="1"/>
  <c r="I38" i="26" s="1"/>
  <c r="J113" i="9"/>
  <c r="I113"/>
  <c r="H22" i="8" s="1"/>
  <c r="H19" i="7" s="1"/>
  <c r="I60" i="26" s="1"/>
  <c r="I54" s="1"/>
  <c r="H113" i="9"/>
  <c r="G22" i="8" s="1"/>
  <c r="G19" i="7" s="1"/>
  <c r="I53" i="26" s="1"/>
  <c r="I52" s="1"/>
  <c r="G113" i="9"/>
  <c r="F22" i="8" s="1"/>
  <c r="F19" i="7" s="1"/>
  <c r="I86" i="26" s="1"/>
  <c r="I85" s="1"/>
  <c r="F113" i="9"/>
  <c r="E22" i="8" s="1"/>
  <c r="E19" i="7" s="1"/>
  <c r="I47" i="26" s="1"/>
  <c r="E113" i="9"/>
  <c r="D22" i="8" s="1"/>
  <c r="D113" i="9"/>
  <c r="C22" i="8" s="1"/>
  <c r="E111" i="9"/>
  <c r="F111"/>
  <c r="G111"/>
  <c r="F21" i="8" s="1"/>
  <c r="F18" i="7" s="1"/>
  <c r="H86" i="26" s="1"/>
  <c r="H85" s="1"/>
  <c r="H111" i="9"/>
  <c r="I111"/>
  <c r="J111"/>
  <c r="K111"/>
  <c r="J21" i="8" s="1"/>
  <c r="J18" i="7" s="1"/>
  <c r="H38" i="26" s="1"/>
  <c r="L111" i="9"/>
  <c r="K21" i="8" s="1"/>
  <c r="K18" i="7" s="1"/>
  <c r="H45" i="26" s="1"/>
  <c r="H44" s="1"/>
  <c r="M111" i="9"/>
  <c r="L21" i="8" s="1"/>
  <c r="L18" i="7" s="1"/>
  <c r="H78" i="26" s="1"/>
  <c r="H77" s="1"/>
  <c r="D111" i="9"/>
  <c r="C123"/>
  <c r="C112"/>
  <c r="L25" i="8"/>
  <c r="D25"/>
  <c r="C106" i="9"/>
  <c r="C105"/>
  <c r="C104"/>
  <c r="C103"/>
  <c r="C102"/>
  <c r="C101"/>
  <c r="C100"/>
  <c r="C99"/>
  <c r="C98"/>
  <c r="C97"/>
  <c r="C96"/>
  <c r="C85"/>
  <c r="C86"/>
  <c r="C87"/>
  <c r="C88"/>
  <c r="C89"/>
  <c r="C90"/>
  <c r="C91"/>
  <c r="L17" i="7"/>
  <c r="G78" i="26" s="1"/>
  <c r="G77" s="1"/>
  <c r="K17" i="7"/>
  <c r="G45" i="26" s="1"/>
  <c r="G44" s="1"/>
  <c r="J17" i="7"/>
  <c r="G38" i="26" s="1"/>
  <c r="H17" i="7"/>
  <c r="G60" i="26" s="1"/>
  <c r="G54" s="1"/>
  <c r="G17" i="7"/>
  <c r="G53" i="26" s="1"/>
  <c r="G52" s="1"/>
  <c r="F17" i="7"/>
  <c r="G86" i="26" s="1"/>
  <c r="G85" s="1"/>
  <c r="D17" i="7"/>
  <c r="C84" i="9"/>
  <c r="C83"/>
  <c r="C82"/>
  <c r="C81"/>
  <c r="C80"/>
  <c r="C79"/>
  <c r="C78"/>
  <c r="C77"/>
  <c r="C76"/>
  <c r="C75"/>
  <c r="C74"/>
  <c r="C73"/>
  <c r="C72"/>
  <c r="C71"/>
  <c r="C70"/>
  <c r="C55"/>
  <c r="C56"/>
  <c r="C57"/>
  <c r="C58"/>
  <c r="C59"/>
  <c r="C60"/>
  <c r="C61"/>
  <c r="C62"/>
  <c r="C63"/>
  <c r="C64"/>
  <c r="C65"/>
  <c r="L16" i="7"/>
  <c r="F78" i="26" s="1"/>
  <c r="F77" s="1"/>
  <c r="F63" s="1"/>
  <c r="K16" i="7"/>
  <c r="F45" i="26" s="1"/>
  <c r="F44" s="1"/>
  <c r="J16" i="7"/>
  <c r="F38" i="26" s="1"/>
  <c r="I16" i="7"/>
  <c r="F84" i="26" s="1"/>
  <c r="F83" s="1"/>
  <c r="G16" i="7"/>
  <c r="F53" i="26" s="1"/>
  <c r="F52" s="1"/>
  <c r="F16" i="7"/>
  <c r="F86" i="26" s="1"/>
  <c r="F85" s="1"/>
  <c r="F79" s="1"/>
  <c r="E16" i="7"/>
  <c r="F47" i="26" s="1"/>
  <c r="D16" i="7"/>
  <c r="F37" i="26" s="1"/>
  <c r="C54" i="9"/>
  <c r="C53"/>
  <c r="C52"/>
  <c r="C51"/>
  <c r="C50"/>
  <c r="L18" i="8"/>
  <c r="K18"/>
  <c r="J18"/>
  <c r="I18"/>
  <c r="H18"/>
  <c r="G18"/>
  <c r="F18"/>
  <c r="E18"/>
  <c r="D18"/>
  <c r="C18"/>
  <c r="C45" i="9"/>
  <c r="C44"/>
  <c r="C43"/>
  <c r="C42"/>
  <c r="C41"/>
  <c r="C40"/>
  <c r="C39"/>
  <c r="C38"/>
  <c r="C37"/>
  <c r="C36"/>
  <c r="C35"/>
  <c r="C34"/>
  <c r="C33"/>
  <c r="C32"/>
  <c r="C17" i="8"/>
  <c r="D17"/>
  <c r="E17"/>
  <c r="F17"/>
  <c r="G17"/>
  <c r="H17"/>
  <c r="I17"/>
  <c r="J17"/>
  <c r="K17"/>
  <c r="L17"/>
  <c r="C27" i="9"/>
  <c r="I21" i="4"/>
  <c r="I15"/>
  <c r="I16"/>
  <c r="G26"/>
  <c r="G25" s="1"/>
  <c r="G18"/>
  <c r="E21"/>
  <c r="E15"/>
  <c r="B38" i="1"/>
  <c r="C32" i="2" s="1"/>
  <c r="C30"/>
  <c r="B35" i="1"/>
  <c r="B52" i="32" s="1"/>
  <c r="B34" i="1"/>
  <c r="H159" i="3"/>
  <c r="H143"/>
  <c r="B28" i="1" s="1"/>
  <c r="H165" i="3"/>
  <c r="B37" i="1" s="1"/>
  <c r="C40" i="28" s="1"/>
  <c r="H162" i="3"/>
  <c r="H141"/>
  <c r="H139"/>
  <c r="H127"/>
  <c r="B26" i="1" s="1"/>
  <c r="H122" i="3"/>
  <c r="H113"/>
  <c r="H111"/>
  <c r="H94"/>
  <c r="H90"/>
  <c r="H86"/>
  <c r="H40"/>
  <c r="H47"/>
  <c r="H38"/>
  <c r="H29"/>
  <c r="H15"/>
  <c r="H14" s="1"/>
  <c r="B16" i="1" s="1"/>
  <c r="C19" i="28" s="1"/>
  <c r="B16" i="32" s="1"/>
  <c r="C16" s="1"/>
  <c r="D16" s="1"/>
  <c r="C43" i="28"/>
  <c r="B56" i="32"/>
  <c r="B62"/>
  <c r="C62" s="1"/>
  <c r="D62" s="1"/>
  <c r="E21" i="18"/>
  <c r="C33" i="2"/>
  <c r="B57" i="32"/>
  <c r="C42" i="28"/>
  <c r="C107" i="11"/>
  <c r="B25" i="10" s="1"/>
  <c r="C113" i="9"/>
  <c r="E14" i="4"/>
  <c r="J92" i="26"/>
  <c r="C29" i="14"/>
  <c r="C26" i="13" s="1"/>
  <c r="C25" s="1"/>
  <c r="C121" i="15"/>
  <c r="D115" i="37" s="1"/>
  <c r="C113" i="15"/>
  <c r="I30" i="14"/>
  <c r="I29" s="1"/>
  <c r="I26" i="13" s="1"/>
  <c r="H21" i="14"/>
  <c r="H18" i="13" s="1"/>
  <c r="H20" i="26" s="1"/>
  <c r="D21" i="14"/>
  <c r="D18" i="13" s="1"/>
  <c r="H16" i="26" s="1"/>
  <c r="D21" i="13"/>
  <c r="J16" i="26" s="1"/>
  <c r="F21" i="13"/>
  <c r="J18" i="26" s="1"/>
  <c r="H21" i="13"/>
  <c r="J20" i="26" s="1"/>
  <c r="C21" i="13"/>
  <c r="J15" i="26" s="1"/>
  <c r="B25" i="14"/>
  <c r="E21" i="13"/>
  <c r="J17" i="26" s="1"/>
  <c r="G21" i="13"/>
  <c r="J19" i="26" s="1"/>
  <c r="I21" i="13"/>
  <c r="J21" i="26" s="1"/>
  <c r="I24" i="14"/>
  <c r="I23" s="1"/>
  <c r="C17" i="13"/>
  <c r="G15" i="26" s="1"/>
  <c r="B20" i="14"/>
  <c r="N19" i="26"/>
  <c r="G25" i="13"/>
  <c r="H25"/>
  <c r="F25"/>
  <c r="D25"/>
  <c r="C16"/>
  <c r="B19" i="14"/>
  <c r="K29" i="8"/>
  <c r="K26" i="7"/>
  <c r="I26"/>
  <c r="N84" i="26" s="1"/>
  <c r="N83" s="1"/>
  <c r="G29" i="8"/>
  <c r="G26" i="7"/>
  <c r="L29" i="8"/>
  <c r="J29"/>
  <c r="H29"/>
  <c r="H26" i="7"/>
  <c r="C24" i="8"/>
  <c r="C28"/>
  <c r="C24" i="7" s="1"/>
  <c r="M36" i="26" s="1"/>
  <c r="C30" i="8"/>
  <c r="C29" s="1"/>
  <c r="D30"/>
  <c r="D29" s="1"/>
  <c r="E30" i="10"/>
  <c r="E26" i="6" s="1"/>
  <c r="G30" i="10"/>
  <c r="G26" i="6" s="1"/>
  <c r="C115" i="11"/>
  <c r="C27" i="10"/>
  <c r="C23" i="6" s="1"/>
  <c r="C30" i="10"/>
  <c r="F21"/>
  <c r="F18" i="6" s="1"/>
  <c r="H34" i="26" s="1"/>
  <c r="D21" i="10"/>
  <c r="D18" i="6" s="1"/>
  <c r="E21" i="10"/>
  <c r="E18" i="6" s="1"/>
  <c r="H33" i="26" s="1"/>
  <c r="C111" i="11"/>
  <c r="C21" i="10"/>
  <c r="C18" i="6" s="1"/>
  <c r="H31" i="26" s="1"/>
  <c r="F21" i="6"/>
  <c r="F24" i="10"/>
  <c r="E21" i="6"/>
  <c r="E24" i="10"/>
  <c r="G21" i="6"/>
  <c r="J35" i="26" s="1"/>
  <c r="G24" i="10"/>
  <c r="E24" i="26"/>
  <c r="E23" s="1"/>
  <c r="C15" i="24"/>
  <c r="D15" i="22"/>
  <c r="E42" i="26"/>
  <c r="E41" s="1"/>
  <c r="E39" s="1"/>
  <c r="E72"/>
  <c r="E18" i="14"/>
  <c r="C17"/>
  <c r="C16" s="1"/>
  <c r="C15" s="1"/>
  <c r="G17"/>
  <c r="E17"/>
  <c r="H17"/>
  <c r="F17"/>
  <c r="D17"/>
  <c r="D16" s="1"/>
  <c r="C66" i="11"/>
  <c r="C21" i="7"/>
  <c r="E21"/>
  <c r="G21"/>
  <c r="G24" i="8"/>
  <c r="G23" s="1"/>
  <c r="I21" i="7"/>
  <c r="J84" i="26" s="1"/>
  <c r="J83" s="1"/>
  <c r="K21" i="7"/>
  <c r="J45" i="26" s="1"/>
  <c r="J44" s="1"/>
  <c r="D21" i="7"/>
  <c r="J37" i="26" s="1"/>
  <c r="F21" i="7"/>
  <c r="H21"/>
  <c r="J24" i="8"/>
  <c r="J23" s="1"/>
  <c r="J21" i="7"/>
  <c r="J20" s="1"/>
  <c r="L21"/>
  <c r="J78" i="26" s="1"/>
  <c r="J77" s="1"/>
  <c r="J63" s="1"/>
  <c r="C17" i="7"/>
  <c r="G36" i="26" s="1"/>
  <c r="C25" i="9"/>
  <c r="C26"/>
  <c r="B19" i="1"/>
  <c r="C22" i="28" s="1"/>
  <c r="B19" i="32" s="1"/>
  <c r="C19" s="1"/>
  <c r="D19" s="1"/>
  <c r="H28" i="3"/>
  <c r="H27" s="1"/>
  <c r="B30" i="1"/>
  <c r="C35" i="28" s="1"/>
  <c r="B31" i="32" s="1"/>
  <c r="C31" s="1"/>
  <c r="D31" s="1"/>
  <c r="F15" i="26"/>
  <c r="D26" i="7"/>
  <c r="D25" s="1"/>
  <c r="L36" i="26"/>
  <c r="N60"/>
  <c r="N54" s="1"/>
  <c r="H25" i="7"/>
  <c r="N78" i="26"/>
  <c r="N77" s="1"/>
  <c r="L25" i="7"/>
  <c r="N53" i="26"/>
  <c r="N52" s="1"/>
  <c r="G25" i="7"/>
  <c r="N45" i="26"/>
  <c r="N44" s="1"/>
  <c r="K25" i="7"/>
  <c r="G20"/>
  <c r="J53" i="26"/>
  <c r="J47"/>
  <c r="J38"/>
  <c r="J60"/>
  <c r="J54" s="1"/>
  <c r="J86"/>
  <c r="J85" s="1"/>
  <c r="B26" i="10"/>
  <c r="C29"/>
  <c r="C26" i="6"/>
  <c r="N31" i="26" s="1"/>
  <c r="J33"/>
  <c r="J34"/>
  <c r="C19" i="7"/>
  <c r="B16" i="35" s="1"/>
  <c r="C24" i="9"/>
  <c r="I36" i="26"/>
  <c r="J52"/>
  <c r="C23" i="9"/>
  <c r="C22"/>
  <c r="C21"/>
  <c r="C20"/>
  <c r="C19"/>
  <c r="C18"/>
  <c r="C17"/>
  <c r="C16"/>
  <c r="C15"/>
  <c r="C14"/>
  <c r="B38" i="28"/>
  <c r="N89" i="26"/>
  <c r="D51" i="37"/>
  <c r="D74"/>
  <c r="D88"/>
  <c r="D100"/>
  <c r="C22" i="18"/>
  <c r="C24" i="17"/>
  <c r="C23" s="1"/>
  <c r="I22" i="18"/>
  <c r="K82" i="26" s="1"/>
  <c r="K81" s="1"/>
  <c r="D34" i="37"/>
  <c r="D50"/>
  <c r="D52"/>
  <c r="D62"/>
  <c r="D95"/>
  <c r="D103"/>
  <c r="D105"/>
  <c r="C26" i="18"/>
  <c r="C25" s="1"/>
  <c r="E26"/>
  <c r="E25" s="1"/>
  <c r="E29" i="17"/>
  <c r="J15" i="18"/>
  <c r="E49" i="26" s="1"/>
  <c r="K92"/>
  <c r="C20" i="18"/>
  <c r="D89" i="26"/>
  <c r="E89" i="25" s="1"/>
  <c r="F88" s="1"/>
  <c r="N88" i="26"/>
  <c r="C22" i="7" l="1"/>
  <c r="K36" i="26" s="1"/>
  <c r="C16" i="17"/>
  <c r="D71" i="37"/>
  <c r="C111" i="9"/>
  <c r="C119"/>
  <c r="D72" i="37"/>
  <c r="D84"/>
  <c r="H56" i="3"/>
  <c r="H24" i="17"/>
  <c r="I16" i="14"/>
  <c r="H124" i="19"/>
  <c r="H125" s="1"/>
  <c r="F28" i="17"/>
  <c r="F24" i="18" s="1"/>
  <c r="H21" i="17"/>
  <c r="H18" i="18" s="1"/>
  <c r="C119" i="20"/>
  <c r="C121"/>
  <c r="H85" i="3"/>
  <c r="H158"/>
  <c r="B23" i="1"/>
  <c r="D30" i="30" s="1"/>
  <c r="F19" s="1"/>
  <c r="D92" i="23"/>
  <c r="I24" i="17"/>
  <c r="C113" i="20"/>
  <c r="C66" i="19"/>
  <c r="B19" i="17"/>
  <c r="C107" i="19"/>
  <c r="C92"/>
  <c r="C113" i="16"/>
  <c r="J15" i="17"/>
  <c r="J14" s="1"/>
  <c r="D38" i="37"/>
  <c r="D21"/>
  <c r="D69"/>
  <c r="D54"/>
  <c r="B25" i="8"/>
  <c r="C66" i="9"/>
  <c r="D55" i="37"/>
  <c r="D104"/>
  <c r="D60"/>
  <c r="D58"/>
  <c r="D99"/>
  <c r="D97"/>
  <c r="J46" i="26"/>
  <c r="D102" i="37"/>
  <c r="C92" i="9"/>
  <c r="C75" i="21"/>
  <c r="D85" i="37"/>
  <c r="D73"/>
  <c r="D90"/>
  <c r="D63"/>
  <c r="D46" i="23"/>
  <c r="D28"/>
  <c r="D42" i="37"/>
  <c r="C46" i="19"/>
  <c r="F16" i="17"/>
  <c r="F15" s="1"/>
  <c r="D16"/>
  <c r="D15" i="18" s="1"/>
  <c r="D24" i="37"/>
  <c r="C28" i="19"/>
  <c r="D97" i="26"/>
  <c r="E97" i="25" s="1"/>
  <c r="E16" i="17"/>
  <c r="E15" i="18" s="1"/>
  <c r="D96" i="26"/>
  <c r="E96" i="25" s="1"/>
  <c r="C15" i="18"/>
  <c r="E92" i="26" s="1"/>
  <c r="C15" i="17"/>
  <c r="D35" i="37"/>
  <c r="G16" i="14"/>
  <c r="G15" i="13" s="1"/>
  <c r="F16" i="14"/>
  <c r="F15" s="1"/>
  <c r="D43" i="37"/>
  <c r="D40"/>
  <c r="D37"/>
  <c r="D32"/>
  <c r="D25"/>
  <c r="D20"/>
  <c r="D19"/>
  <c r="D17"/>
  <c r="C28" i="15"/>
  <c r="H15" i="18"/>
  <c r="E48" i="26" s="1"/>
  <c r="H15" i="17"/>
  <c r="B30" i="14"/>
  <c r="B29" s="1"/>
  <c r="D111" i="23"/>
  <c r="F124"/>
  <c r="F125" s="1"/>
  <c r="C94" i="21"/>
  <c r="D107"/>
  <c r="D108" s="1"/>
  <c r="D21" i="22"/>
  <c r="C102" i="21"/>
  <c r="D28" i="22"/>
  <c r="C26" i="24"/>
  <c r="D115" i="23"/>
  <c r="D17" i="18"/>
  <c r="B17" s="1"/>
  <c r="F17" i="5" s="1"/>
  <c r="B20" i="17"/>
  <c r="D14" i="37"/>
  <c r="D18"/>
  <c r="B21" i="10"/>
  <c r="D14" i="22"/>
  <c r="H157" i="3"/>
  <c r="D89" i="37"/>
  <c r="C107" i="9"/>
  <c r="D101" i="37"/>
  <c r="E27" i="8"/>
  <c r="E23" i="7" s="1"/>
  <c r="L47" i="26" s="1"/>
  <c r="C117" i="9"/>
  <c r="N38" i="26"/>
  <c r="J25" i="7"/>
  <c r="F30" i="10"/>
  <c r="F30" i="8"/>
  <c r="D26" i="37"/>
  <c r="D33"/>
  <c r="D41"/>
  <c r="D56"/>
  <c r="D64"/>
  <c r="C92" i="11"/>
  <c r="D98" i="37"/>
  <c r="E27" i="10"/>
  <c r="C117" i="11"/>
  <c r="G124" i="15"/>
  <c r="G125" s="1"/>
  <c r="F21" i="14"/>
  <c r="F18" i="13" s="1"/>
  <c r="H18" i="26" s="1"/>
  <c r="D27" i="14"/>
  <c r="D23" i="13" s="1"/>
  <c r="L16" i="26" s="1"/>
  <c r="C117" i="15"/>
  <c r="N17" i="26"/>
  <c r="E25" i="13"/>
  <c r="C92" i="15"/>
  <c r="D87" i="37"/>
  <c r="D75"/>
  <c r="B61" i="32"/>
  <c r="D16" i="2"/>
  <c r="H34" i="28"/>
  <c r="B18" i="17"/>
  <c r="B16" i="24"/>
  <c r="B15" s="1"/>
  <c r="I18" i="5"/>
  <c r="I17" i="4" s="1"/>
  <c r="C111" i="16"/>
  <c r="C46"/>
  <c r="D70" i="37"/>
  <c r="C98" i="21"/>
  <c r="M27" i="26"/>
  <c r="M26" s="1"/>
  <c r="H28" i="17"/>
  <c r="H24" i="18" s="1"/>
  <c r="M48" i="26" s="1"/>
  <c r="H22" i="17"/>
  <c r="H19" i="18" s="1"/>
  <c r="I48" i="26" s="1"/>
  <c r="I82"/>
  <c r="B22" i="35"/>
  <c r="C18" i="18"/>
  <c r="H92" i="26" s="1"/>
  <c r="H91" s="1"/>
  <c r="H90" s="1"/>
  <c r="E124" i="19"/>
  <c r="E125" s="1"/>
  <c r="C111"/>
  <c r="D96" i="37"/>
  <c r="J36" i="26"/>
  <c r="C20" i="7"/>
  <c r="N73" i="26"/>
  <c r="N72" s="1"/>
  <c r="N63" s="1"/>
  <c r="D30" i="17"/>
  <c r="J26" i="18"/>
  <c r="D69" i="26"/>
  <c r="C113" i="19"/>
  <c r="F22" i="17"/>
  <c r="F19" i="18" s="1"/>
  <c r="F30" i="17"/>
  <c r="C121" i="19"/>
  <c r="C28" i="20"/>
  <c r="D107" i="23"/>
  <c r="D13" i="37"/>
  <c r="C15" i="13"/>
  <c r="E15" i="26" s="1"/>
  <c r="B21" i="7"/>
  <c r="D21" i="5" s="1"/>
  <c r="B21" i="18"/>
  <c r="F21" i="5" s="1"/>
  <c r="L31" i="26"/>
  <c r="B25" i="17"/>
  <c r="D39" i="37"/>
  <c r="I22" i="7"/>
  <c r="K84" i="26" s="1"/>
  <c r="K83" s="1"/>
  <c r="I24" i="8"/>
  <c r="I23" s="1"/>
  <c r="D15" i="37"/>
  <c r="D23"/>
  <c r="D21" i="6"/>
  <c r="D24" i="10"/>
  <c r="D44" i="37"/>
  <c r="D36"/>
  <c r="D59"/>
  <c r="D86"/>
  <c r="C121" i="16"/>
  <c r="F92" i="26"/>
  <c r="F91" s="1"/>
  <c r="F90" s="1"/>
  <c r="B16" i="18"/>
  <c r="F16" i="5" s="1"/>
  <c r="L93" i="26"/>
  <c r="L91" s="1"/>
  <c r="L90" s="1"/>
  <c r="D27" i="17"/>
  <c r="D23" i="18" s="1"/>
  <c r="M93" i="26"/>
  <c r="M91" s="1"/>
  <c r="M90" s="1"/>
  <c r="D28" i="17"/>
  <c r="D24" i="18" s="1"/>
  <c r="B28" i="24"/>
  <c r="F21" i="17"/>
  <c r="F18" i="18" s="1"/>
  <c r="H30" i="17"/>
  <c r="D119" i="23"/>
  <c r="D16" i="37"/>
  <c r="H16" i="14"/>
  <c r="H15" s="1"/>
  <c r="H14" s="1"/>
  <c r="B18"/>
  <c r="H131" i="3"/>
  <c r="B27" i="1" s="1"/>
  <c r="D82" i="37"/>
  <c r="G63" i="26"/>
  <c r="H63"/>
  <c r="E124" i="15"/>
  <c r="E125" s="1"/>
  <c r="I124"/>
  <c r="I125" s="1"/>
  <c r="I124" i="16"/>
  <c r="C66" i="20"/>
  <c r="I20" i="7"/>
  <c r="J91" i="26"/>
  <c r="J90" s="1"/>
  <c r="F46"/>
  <c r="L63"/>
  <c r="C66" i="15"/>
  <c r="D61" i="37"/>
  <c r="D57"/>
  <c r="D53"/>
  <c r="K16" i="8"/>
  <c r="I16"/>
  <c r="I15" s="1"/>
  <c r="G16"/>
  <c r="G15" s="1"/>
  <c r="E16"/>
  <c r="E15" s="1"/>
  <c r="C46" i="9"/>
  <c r="D31" i="37"/>
  <c r="C28" i="9"/>
  <c r="D22" i="37"/>
  <c r="C28" i="11"/>
  <c r="C92" i="20"/>
  <c r="D49" i="37"/>
  <c r="G23" i="10"/>
  <c r="C121" i="11"/>
  <c r="K73" i="26"/>
  <c r="K72" s="1"/>
  <c r="G124" i="16"/>
  <c r="K95" i="26"/>
  <c r="H124" i="16"/>
  <c r="E26" i="17"/>
  <c r="J124" i="16"/>
  <c r="C25" i="6"/>
  <c r="B17" i="14"/>
  <c r="B22" i="6"/>
  <c r="C22" i="5" s="1"/>
  <c r="L51" i="26"/>
  <c r="C29" i="2"/>
  <c r="H126" i="3"/>
  <c r="H155" s="1"/>
  <c r="E29" i="8"/>
  <c r="E26" i="7"/>
  <c r="E22"/>
  <c r="E24" i="8"/>
  <c r="E23" s="1"/>
  <c r="K22" i="7"/>
  <c r="K45" i="26" s="1"/>
  <c r="K44" s="1"/>
  <c r="K24" i="8"/>
  <c r="F26" i="6"/>
  <c r="F29" i="10"/>
  <c r="D22" i="7"/>
  <c r="K37" i="26" s="1"/>
  <c r="D24" i="8"/>
  <c r="H22" i="7"/>
  <c r="K60" i="26" s="1"/>
  <c r="K54" s="1"/>
  <c r="H24" i="8"/>
  <c r="H23" s="1"/>
  <c r="L22" i="7"/>
  <c r="L24" i="8"/>
  <c r="J43" i="26"/>
  <c r="J14" i="18"/>
  <c r="C115" i="19"/>
  <c r="I16" i="17"/>
  <c r="A7" i="34"/>
  <c r="A7" i="35" s="1"/>
  <c r="B9" i="36" s="1"/>
  <c r="H82" i="26"/>
  <c r="H81" s="1"/>
  <c r="N37"/>
  <c r="B24" i="10"/>
  <c r="E16" i="14"/>
  <c r="E29" i="10"/>
  <c r="C24"/>
  <c r="C41" i="28"/>
  <c r="C26"/>
  <c r="B23" i="32" s="1"/>
  <c r="C23" s="1"/>
  <c r="D23" s="1"/>
  <c r="F20" i="31"/>
  <c r="F62" s="1"/>
  <c r="F116" i="16" s="1"/>
  <c r="E62" i="31"/>
  <c r="C90" i="21"/>
  <c r="B16" i="29"/>
  <c r="B18" s="1"/>
  <c r="B21" s="1"/>
  <c r="B33" s="1"/>
  <c r="G37" i="28"/>
  <c r="G43" s="1"/>
  <c r="B16"/>
  <c r="B37" s="1"/>
  <c r="B44" s="1"/>
  <c r="G42" s="1"/>
  <c r="I27" i="26"/>
  <c r="I26" s="1"/>
  <c r="I19" i="5"/>
  <c r="I18" i="4" s="1"/>
  <c r="L27" i="26"/>
  <c r="L26" s="1"/>
  <c r="I23" i="5"/>
  <c r="N27" i="26"/>
  <c r="N26" s="1"/>
  <c r="I26" i="5"/>
  <c r="D29" i="24"/>
  <c r="G23" i="5"/>
  <c r="L24" i="26"/>
  <c r="L23" s="1"/>
  <c r="B27" i="24"/>
  <c r="G26" i="5"/>
  <c r="C29" i="24"/>
  <c r="N24" i="26"/>
  <c r="N23" s="1"/>
  <c r="B30" i="24"/>
  <c r="B29" s="1"/>
  <c r="D23"/>
  <c r="D66" i="23"/>
  <c r="L45" i="26"/>
  <c r="L44" s="1"/>
  <c r="K20" i="7"/>
  <c r="M37" i="26"/>
  <c r="H22" i="5"/>
  <c r="C24" i="22"/>
  <c r="D24"/>
  <c r="K42" i="26"/>
  <c r="N92"/>
  <c r="N91" s="1"/>
  <c r="N90" s="1"/>
  <c r="K30"/>
  <c r="D23" i="8"/>
  <c r="M51" i="26"/>
  <c r="C66" i="16"/>
  <c r="C92"/>
  <c r="C107"/>
  <c r="J125"/>
  <c r="L23" i="8"/>
  <c r="K23"/>
  <c r="C46" i="11"/>
  <c r="F26" i="17"/>
  <c r="H124" i="20"/>
  <c r="H125" s="1"/>
  <c r="C115"/>
  <c r="C117"/>
  <c r="C46"/>
  <c r="N51" i="26"/>
  <c r="B51" i="32"/>
  <c r="B50" s="1"/>
  <c r="B33" i="1"/>
  <c r="B32" s="1"/>
  <c r="C37" s="1"/>
  <c r="C28" i="2"/>
  <c r="C34"/>
  <c r="B58" i="32"/>
  <c r="D30" i="10"/>
  <c r="C121" i="9"/>
  <c r="F26" i="8"/>
  <c r="C115" i="9"/>
  <c r="D80" i="37"/>
  <c r="C113" i="11"/>
  <c r="C107" i="21"/>
  <c r="C23" i="8"/>
  <c r="H124" i="11"/>
  <c r="H125" s="1"/>
  <c r="G22" i="10"/>
  <c r="G19" i="6" s="1"/>
  <c r="C28" i="10"/>
  <c r="C119" i="11"/>
  <c r="D114" i="37" s="1"/>
  <c r="C21" i="14"/>
  <c r="C111" i="15"/>
  <c r="C19" i="13"/>
  <c r="B22" i="14"/>
  <c r="C26"/>
  <c r="C24" s="1"/>
  <c r="C23" s="1"/>
  <c r="C115" i="15"/>
  <c r="E28" i="14"/>
  <c r="C119" i="15"/>
  <c r="C46"/>
  <c r="H35" i="28"/>
  <c r="H32" s="1"/>
  <c r="I32" s="1"/>
  <c r="D15" i="2"/>
  <c r="F26" i="1"/>
  <c r="C15" i="22"/>
  <c r="H15" i="5"/>
  <c r="G29" i="17"/>
  <c r="G26" i="18"/>
  <c r="G25" s="1"/>
  <c r="L16" i="8"/>
  <c r="L15" s="1"/>
  <c r="L14" s="1"/>
  <c r="J16"/>
  <c r="J15" s="1"/>
  <c r="J14" s="1"/>
  <c r="J31" s="1"/>
  <c r="H16"/>
  <c r="F16"/>
  <c r="F15" s="1"/>
  <c r="F14" s="1"/>
  <c r="D16"/>
  <c r="D15" s="1"/>
  <c r="B18"/>
  <c r="M124" i="9"/>
  <c r="M125" s="1"/>
  <c r="L124"/>
  <c r="L125" s="1"/>
  <c r="K124"/>
  <c r="K125" s="1"/>
  <c r="I124"/>
  <c r="I125" s="1"/>
  <c r="I46" i="26"/>
  <c r="I43" s="1"/>
  <c r="I51"/>
  <c r="B18" i="10"/>
  <c r="D79" i="37"/>
  <c r="D83"/>
  <c r="E124" i="16"/>
  <c r="E125" s="1"/>
  <c r="D22" i="17"/>
  <c r="I125" i="16"/>
  <c r="E124" i="20"/>
  <c r="E125" s="1"/>
  <c r="G124"/>
  <c r="D124" i="16"/>
  <c r="D125" s="1"/>
  <c r="H125"/>
  <c r="E22" i="17"/>
  <c r="E19" i="18" s="1"/>
  <c r="B21" i="13"/>
  <c r="E21" i="5" s="1"/>
  <c r="C107" i="15"/>
  <c r="I22" i="8"/>
  <c r="I19" i="7" s="1"/>
  <c r="D76" i="37"/>
  <c r="D81"/>
  <c r="D78"/>
  <c r="D77"/>
  <c r="G19" i="10"/>
  <c r="G16" i="6" s="1"/>
  <c r="F35" i="26" s="1"/>
  <c r="F19" i="10"/>
  <c r="F16" i="6" s="1"/>
  <c r="F34" i="26" s="1"/>
  <c r="E19" i="10"/>
  <c r="E16" i="6" s="1"/>
  <c r="F33" i="26" s="1"/>
  <c r="D20" i="10"/>
  <c r="B20" s="1"/>
  <c r="D19"/>
  <c r="D16" i="6" s="1"/>
  <c r="F32" i="26" s="1"/>
  <c r="C19" i="10"/>
  <c r="J79" i="26"/>
  <c r="G18" i="5"/>
  <c r="E17" i="4" s="1"/>
  <c r="H24" i="26"/>
  <c r="H23" s="1"/>
  <c r="B21" i="24"/>
  <c r="D106" i="37"/>
  <c r="J24" i="18"/>
  <c r="M49" i="26" s="1"/>
  <c r="B24" i="18"/>
  <c r="F24" i="5" s="1"/>
  <c r="I23" i="18"/>
  <c r="I23" i="17"/>
  <c r="L46" i="26"/>
  <c r="L43" s="1"/>
  <c r="K48"/>
  <c r="J22" i="18"/>
  <c r="J24" i="17"/>
  <c r="J23" s="1"/>
  <c r="J31" s="1"/>
  <c r="I81" i="26"/>
  <c r="D124" i="20"/>
  <c r="D125" s="1"/>
  <c r="F124"/>
  <c r="F125" s="1"/>
  <c r="H48" i="26"/>
  <c r="H14" i="18"/>
  <c r="D124" i="19"/>
  <c r="D125" s="1"/>
  <c r="D95" i="26"/>
  <c r="E95" i="25" s="1"/>
  <c r="C22" i="17"/>
  <c r="I73" i="26"/>
  <c r="G125" i="16"/>
  <c r="B27" i="14"/>
  <c r="C23" i="13"/>
  <c r="D124" i="15"/>
  <c r="D125" s="1"/>
  <c r="F124"/>
  <c r="F125" s="1"/>
  <c r="H124"/>
  <c r="H125" s="1"/>
  <c r="D22" i="13"/>
  <c r="K16" i="26" s="1"/>
  <c r="D24" i="14"/>
  <c r="F22" i="13"/>
  <c r="F24" i="14"/>
  <c r="F23" s="1"/>
  <c r="H22" i="13"/>
  <c r="H24" i="14"/>
  <c r="H23" s="1"/>
  <c r="C22" i="13"/>
  <c r="B26" i="14"/>
  <c r="B24" s="1"/>
  <c r="E22" i="13"/>
  <c r="E24" i="14"/>
  <c r="E23" s="1"/>
  <c r="G22" i="13"/>
  <c r="G24" i="14"/>
  <c r="G23" s="1"/>
  <c r="I20" i="13"/>
  <c r="I21" i="14"/>
  <c r="J124" i="15"/>
  <c r="J125" s="1"/>
  <c r="N35" i="26"/>
  <c r="G25" i="6"/>
  <c r="I25" i="7"/>
  <c r="C26"/>
  <c r="G29" i="10"/>
  <c r="F24" i="7"/>
  <c r="B28" i="8"/>
  <c r="F23" i="7"/>
  <c r="B27" i="8"/>
  <c r="G124" i="9"/>
  <c r="G125" s="1"/>
  <c r="K78" i="26"/>
  <c r="K77" s="1"/>
  <c r="L20" i="7"/>
  <c r="K51" i="26"/>
  <c r="D19" i="7"/>
  <c r="C21" i="8"/>
  <c r="D124" i="9"/>
  <c r="D125" s="1"/>
  <c r="H21" i="8"/>
  <c r="H18" i="7" s="1"/>
  <c r="H60" i="26" s="1"/>
  <c r="H54" s="1"/>
  <c r="G21" i="8"/>
  <c r="G18" i="7" s="1"/>
  <c r="H53" i="26" s="1"/>
  <c r="H52" s="1"/>
  <c r="H124" i="9"/>
  <c r="H125" s="1"/>
  <c r="D21" i="8"/>
  <c r="D18" i="7" s="1"/>
  <c r="H37" i="26" s="1"/>
  <c r="E124" i="9"/>
  <c r="E125" s="1"/>
  <c r="I21" i="8"/>
  <c r="I18" i="7" s="1"/>
  <c r="H84" i="26" s="1"/>
  <c r="H83" s="1"/>
  <c r="H79" s="1"/>
  <c r="J124" i="9"/>
  <c r="J125" s="1"/>
  <c r="E21" i="8"/>
  <c r="E18" i="7" s="1"/>
  <c r="H47" i="26" s="1"/>
  <c r="F124" i="9"/>
  <c r="F125" s="1"/>
  <c r="M33" i="26"/>
  <c r="I35"/>
  <c r="M35"/>
  <c r="G20" i="6"/>
  <c r="D24"/>
  <c r="B28" i="10"/>
  <c r="M34" i="26"/>
  <c r="F20" i="6"/>
  <c r="F23" i="10"/>
  <c r="D23"/>
  <c r="D22"/>
  <c r="D19" i="6" s="1"/>
  <c r="I32" i="26" s="1"/>
  <c r="E124" i="11"/>
  <c r="F22" i="10"/>
  <c r="F19" i="6" s="1"/>
  <c r="I34" i="26" s="1"/>
  <c r="G124" i="11"/>
  <c r="D124"/>
  <c r="D125" s="1"/>
  <c r="E22" i="10"/>
  <c r="E19" i="6" s="1"/>
  <c r="I33" i="26" s="1"/>
  <c r="F124" i="11"/>
  <c r="F125" s="1"/>
  <c r="C16" i="10"/>
  <c r="C15" i="6" s="1"/>
  <c r="D17" i="10"/>
  <c r="E125" i="11"/>
  <c r="F17" i="10"/>
  <c r="F16" s="1"/>
  <c r="G125" i="11"/>
  <c r="E17" i="10"/>
  <c r="E16" s="1"/>
  <c r="G17"/>
  <c r="G16" s="1"/>
  <c r="B24" i="1"/>
  <c r="I14" i="4"/>
  <c r="I13" s="1"/>
  <c r="E27" i="26"/>
  <c r="I15" i="5"/>
  <c r="D15" i="24"/>
  <c r="D14" s="1"/>
  <c r="F43" i="26"/>
  <c r="G99"/>
  <c r="G91" s="1"/>
  <c r="G90" s="1"/>
  <c r="D88"/>
  <c r="J14"/>
  <c r="G14"/>
  <c r="B17" i="13"/>
  <c r="E17" i="5" s="1"/>
  <c r="F21" i="26"/>
  <c r="F16"/>
  <c r="B16" i="13"/>
  <c r="E16" i="5" s="1"/>
  <c r="D15" i="14"/>
  <c r="D14" s="1"/>
  <c r="D15" i="13"/>
  <c r="J51" i="26"/>
  <c r="N33"/>
  <c r="E25" i="6"/>
  <c r="H46" i="3"/>
  <c r="B21" i="1"/>
  <c r="C31" i="2"/>
  <c r="B55" i="32"/>
  <c r="B54" s="1"/>
  <c r="L15" i="7"/>
  <c r="F15"/>
  <c r="D15"/>
  <c r="H16"/>
  <c r="G37" i="26"/>
  <c r="E17" i="7"/>
  <c r="G47" i="26" s="1"/>
  <c r="G46" s="1"/>
  <c r="G43" s="1"/>
  <c r="B20" i="8"/>
  <c r="I17" i="7"/>
  <c r="H13" i="3"/>
  <c r="B17" i="1"/>
  <c r="B18" i="6"/>
  <c r="C18" i="5" s="1"/>
  <c r="H32" i="26"/>
  <c r="H17"/>
  <c r="I25" i="13"/>
  <c r="B26"/>
  <c r="N21" i="26"/>
  <c r="C31" i="28"/>
  <c r="C33"/>
  <c r="B29" i="32" s="1"/>
  <c r="B17" i="8"/>
  <c r="C16"/>
  <c r="B19"/>
  <c r="C16" i="7"/>
  <c r="G51" i="26"/>
  <c r="C18" i="7"/>
  <c r="I124" i="19"/>
  <c r="I125" s="1"/>
  <c r="C117"/>
  <c r="G17" i="17"/>
  <c r="E113" i="23"/>
  <c r="F14" i="14" l="1"/>
  <c r="H14" i="17"/>
  <c r="I15" i="14"/>
  <c r="I15" i="13"/>
  <c r="E21" i="26" s="1"/>
  <c r="C32" i="28"/>
  <c r="B28" i="32" s="1"/>
  <c r="C28" s="1"/>
  <c r="D28" s="1"/>
  <c r="B25" i="1"/>
  <c r="C26" s="1"/>
  <c r="I15" i="7"/>
  <c r="E84" i="26" s="1"/>
  <c r="E83" s="1"/>
  <c r="H31" i="14"/>
  <c r="C108" i="21"/>
  <c r="L31" i="8"/>
  <c r="D65" i="37"/>
  <c r="H127" i="20"/>
  <c r="F15" i="18"/>
  <c r="F14" s="1"/>
  <c r="E15" i="17"/>
  <c r="D15"/>
  <c r="D14" s="1"/>
  <c r="E14" i="18"/>
  <c r="G15" i="14"/>
  <c r="G14" s="1"/>
  <c r="G31" s="1"/>
  <c r="F15" i="13"/>
  <c r="E18" i="26" s="1"/>
  <c r="B16" i="14"/>
  <c r="B15" s="1"/>
  <c r="H15" i="13"/>
  <c r="E20" i="26" s="1"/>
  <c r="D27" i="37"/>
  <c r="D26" i="18"/>
  <c r="B30" i="17"/>
  <c r="B29" s="1"/>
  <c r="D29"/>
  <c r="F26" i="7"/>
  <c r="F29" i="8"/>
  <c r="C28" i="22"/>
  <c r="C23" s="1"/>
  <c r="H24" i="5"/>
  <c r="G23" i="4" s="1"/>
  <c r="M42" i="26"/>
  <c r="M41" s="1"/>
  <c r="M39" s="1"/>
  <c r="F31" i="14"/>
  <c r="D20" i="13"/>
  <c r="B28" i="17"/>
  <c r="F14"/>
  <c r="B16" i="8"/>
  <c r="C15" i="10"/>
  <c r="C14" s="1"/>
  <c r="G15" i="7"/>
  <c r="E53" i="26" s="1"/>
  <c r="B49" i="32"/>
  <c r="D31" i="24"/>
  <c r="D23" i="14"/>
  <c r="D31" s="1"/>
  <c r="H20" i="18"/>
  <c r="B27" i="17"/>
  <c r="M46" i="26"/>
  <c r="M43" s="1"/>
  <c r="D23" i="22"/>
  <c r="D31" s="1"/>
  <c r="D20" i="7"/>
  <c r="D45" i="37"/>
  <c r="C21" i="22"/>
  <c r="H42" i="26"/>
  <c r="H41" s="1"/>
  <c r="H39" s="1"/>
  <c r="D93"/>
  <c r="E93" i="25" s="1"/>
  <c r="H29" i="17"/>
  <c r="H26" i="18"/>
  <c r="B60" i="32"/>
  <c r="E23" i="6"/>
  <c r="B27" i="10"/>
  <c r="B23" s="1"/>
  <c r="E23"/>
  <c r="J15" i="7"/>
  <c r="E38" i="26" s="1"/>
  <c r="D38" s="1"/>
  <c r="E38" i="25" s="1"/>
  <c r="I14" i="5"/>
  <c r="B22" i="8"/>
  <c r="K63" i="26"/>
  <c r="B18" i="18"/>
  <c r="F18" i="5" s="1"/>
  <c r="B23" i="18"/>
  <c r="F23" i="5" s="1"/>
  <c r="B30" i="8"/>
  <c r="B29" s="1"/>
  <c r="C124" i="9"/>
  <c r="C125" s="1"/>
  <c r="H20" i="7"/>
  <c r="J32" i="26"/>
  <c r="J30" s="1"/>
  <c r="J13" s="1"/>
  <c r="J100" s="1"/>
  <c r="B21" i="6"/>
  <c r="C21" i="5" s="1"/>
  <c r="F26" i="18"/>
  <c r="F25" s="1"/>
  <c r="F29" i="17"/>
  <c r="N49" i="26"/>
  <c r="J25" i="18"/>
  <c r="N82" i="26"/>
  <c r="N81" s="1"/>
  <c r="B21" i="17"/>
  <c r="E98" i="26"/>
  <c r="D98" s="1"/>
  <c r="E98" i="25" s="1"/>
  <c r="B26" i="24"/>
  <c r="B24" s="1"/>
  <c r="B23" s="1"/>
  <c r="K24" i="26"/>
  <c r="K23" s="1"/>
  <c r="C24" i="24"/>
  <c r="H23" i="17"/>
  <c r="H31" s="1"/>
  <c r="K15" i="8"/>
  <c r="K14" s="1"/>
  <c r="K31" s="1"/>
  <c r="K15" i="7"/>
  <c r="B21" i="8"/>
  <c r="E22" i="18"/>
  <c r="E20" s="1"/>
  <c r="E24" i="17"/>
  <c r="E23" s="1"/>
  <c r="C116" i="16"/>
  <c r="F115"/>
  <c r="F124" s="1"/>
  <c r="I15" i="18"/>
  <c r="I15" i="17"/>
  <c r="I14" s="1"/>
  <c r="I31" s="1"/>
  <c r="N34" i="26"/>
  <c r="F25" i="6"/>
  <c r="K47" i="26"/>
  <c r="E20" i="7"/>
  <c r="C124" i="20"/>
  <c r="E25" i="7"/>
  <c r="N47" i="26"/>
  <c r="E15" i="14"/>
  <c r="E14" s="1"/>
  <c r="E31" s="1"/>
  <c r="E15" i="13"/>
  <c r="H46" i="26"/>
  <c r="H43" s="1"/>
  <c r="G44" i="28"/>
  <c r="G20" i="5"/>
  <c r="E19" i="4"/>
  <c r="I25" i="5"/>
  <c r="I26" i="4"/>
  <c r="I25" s="1"/>
  <c r="I22"/>
  <c r="I19" s="1"/>
  <c r="I24" s="1"/>
  <c r="I20" i="5"/>
  <c r="G25"/>
  <c r="E26" i="4"/>
  <c r="E25" s="1"/>
  <c r="F22" i="18"/>
  <c r="F20" s="1"/>
  <c r="F24" i="17"/>
  <c r="F23" s="1"/>
  <c r="K41" i="26"/>
  <c r="K39" s="1"/>
  <c r="H51"/>
  <c r="C125" i="20"/>
  <c r="G21" i="4"/>
  <c r="G19" s="1"/>
  <c r="G125" i="20"/>
  <c r="G127" s="1"/>
  <c r="E127"/>
  <c r="I84" i="26"/>
  <c r="I83" s="1"/>
  <c r="I79" s="1"/>
  <c r="B19" i="35"/>
  <c r="D14" i="8"/>
  <c r="D31" s="1"/>
  <c r="B19" i="10"/>
  <c r="B25" i="35"/>
  <c r="D19" i="18"/>
  <c r="D14" s="1"/>
  <c r="H15" i="8"/>
  <c r="H14" s="1"/>
  <c r="H31" s="1"/>
  <c r="H15" i="7"/>
  <c r="E60" i="26" s="1"/>
  <c r="E54" s="1"/>
  <c r="E24" i="13"/>
  <c r="E20" s="1"/>
  <c r="B28" i="14"/>
  <c r="I15" i="26"/>
  <c r="I14" s="1"/>
  <c r="B19" i="13"/>
  <c r="E19" i="5" s="1"/>
  <c r="C14" i="14"/>
  <c r="C31" s="1"/>
  <c r="C18" i="13"/>
  <c r="C24" i="6"/>
  <c r="B24" s="1"/>
  <c r="C23" i="10"/>
  <c r="C124" i="11"/>
  <c r="C125" s="1"/>
  <c r="F22" i="7"/>
  <c r="F20" s="1"/>
  <c r="F24" i="8"/>
  <c r="F23" s="1"/>
  <c r="F31" s="1"/>
  <c r="B26"/>
  <c r="B24" s="1"/>
  <c r="B23" s="1"/>
  <c r="D26" i="6"/>
  <c r="D29" i="10"/>
  <c r="B30"/>
  <c r="B29" s="1"/>
  <c r="C34" i="1"/>
  <c r="C35"/>
  <c r="C39" i="28"/>
  <c r="C38" s="1"/>
  <c r="D38" s="1"/>
  <c r="C36" i="1"/>
  <c r="C27" i="2"/>
  <c r="D26" s="1"/>
  <c r="F14" i="26"/>
  <c r="B23" i="14"/>
  <c r="D127" i="20"/>
  <c r="D110" i="37"/>
  <c r="C124" i="15"/>
  <c r="C125" s="1"/>
  <c r="E14" i="17"/>
  <c r="E31" s="1"/>
  <c r="D91" i="37"/>
  <c r="D17" i="6"/>
  <c r="C16"/>
  <c r="B16" s="1"/>
  <c r="C16" i="5" s="1"/>
  <c r="L82" i="26"/>
  <c r="I20" i="18"/>
  <c r="J20"/>
  <c r="K49" i="26"/>
  <c r="C19" i="18"/>
  <c r="B22" i="17"/>
  <c r="C14"/>
  <c r="C31" s="1"/>
  <c r="I72" i="26"/>
  <c r="I63" s="1"/>
  <c r="D73"/>
  <c r="L15"/>
  <c r="L14" s="1"/>
  <c r="B23" i="13"/>
  <c r="E23" i="5" s="1"/>
  <c r="K19" i="26"/>
  <c r="G20" i="13"/>
  <c r="K17" i="26"/>
  <c r="B22" i="13"/>
  <c r="K15" i="26"/>
  <c r="C20" i="13"/>
  <c r="K20" i="26"/>
  <c r="H20" i="13"/>
  <c r="K18" i="26"/>
  <c r="F20" i="13"/>
  <c r="I18"/>
  <c r="B21" i="14"/>
  <c r="I14"/>
  <c r="I31" s="1"/>
  <c r="N36" i="26"/>
  <c r="C25" i="7"/>
  <c r="M86" i="26"/>
  <c r="M85" s="1"/>
  <c r="M79" s="1"/>
  <c r="B24" i="7"/>
  <c r="D24" i="5" s="1"/>
  <c r="L86" i="26"/>
  <c r="L85" s="1"/>
  <c r="B23" i="7"/>
  <c r="I37" i="26"/>
  <c r="B19" i="7"/>
  <c r="D19" i="5" s="1"/>
  <c r="G14" i="8"/>
  <c r="G31" s="1"/>
  <c r="E14"/>
  <c r="E31" s="1"/>
  <c r="I14"/>
  <c r="I31" s="1"/>
  <c r="M32" i="26"/>
  <c r="D20" i="6"/>
  <c r="C19"/>
  <c r="B22" i="10"/>
  <c r="G15" i="6"/>
  <c r="G15" i="10"/>
  <c r="G14" s="1"/>
  <c r="G31" s="1"/>
  <c r="E15" i="6"/>
  <c r="E15" i="10"/>
  <c r="E14" s="1"/>
  <c r="E31" s="1"/>
  <c r="F15" i="6"/>
  <c r="F15" i="10"/>
  <c r="F14" s="1"/>
  <c r="F31" s="1"/>
  <c r="B17"/>
  <c r="B16" s="1"/>
  <c r="D16"/>
  <c r="C28" i="1"/>
  <c r="H55" i="3"/>
  <c r="H12" s="1"/>
  <c r="H125" s="1"/>
  <c r="H156" s="1"/>
  <c r="H173" s="1"/>
  <c r="C27" i="28"/>
  <c r="B22" i="1"/>
  <c r="C23" s="1"/>
  <c r="E26" i="26"/>
  <c r="D27"/>
  <c r="E16"/>
  <c r="D16" s="1"/>
  <c r="E16" i="25" s="1"/>
  <c r="D14" i="13"/>
  <c r="D27" s="1"/>
  <c r="G22" i="18"/>
  <c r="G24" i="17"/>
  <c r="G23" s="1"/>
  <c r="E124" i="23"/>
  <c r="E125" s="1"/>
  <c r="D113"/>
  <c r="G16" i="17"/>
  <c r="B17"/>
  <c r="B16" s="1"/>
  <c r="B15" s="1"/>
  <c r="B14" s="1"/>
  <c r="B16" i="7"/>
  <c r="D16" i="5" s="1"/>
  <c r="F36" i="26"/>
  <c r="C15" i="7"/>
  <c r="C15" i="8"/>
  <c r="C14" s="1"/>
  <c r="C31" s="1"/>
  <c r="E15" i="7"/>
  <c r="N14" i="26"/>
  <c r="E31"/>
  <c r="G14" i="13"/>
  <c r="G27" s="1"/>
  <c r="E19" i="26"/>
  <c r="G84"/>
  <c r="I14" i="7"/>
  <c r="I27" s="1"/>
  <c r="F60" i="26"/>
  <c r="E37"/>
  <c r="D14" i="7"/>
  <c r="D27" s="1"/>
  <c r="E86" i="26"/>
  <c r="F14" i="7"/>
  <c r="L14"/>
  <c r="L27" s="1"/>
  <c r="E78" i="26"/>
  <c r="D18" i="32"/>
  <c r="C18"/>
  <c r="C124" i="19"/>
  <c r="C125" s="1"/>
  <c r="D113" i="37"/>
  <c r="B18" i="7"/>
  <c r="D18" i="5" s="1"/>
  <c r="H36" i="26"/>
  <c r="H30" s="1"/>
  <c r="B15" i="8"/>
  <c r="B27" i="32"/>
  <c r="C30" i="28"/>
  <c r="D30" s="1"/>
  <c r="C30" i="1"/>
  <c r="C29"/>
  <c r="C27"/>
  <c r="E26" i="5"/>
  <c r="B25" i="13"/>
  <c r="C20" i="28"/>
  <c r="B15" i="1"/>
  <c r="C17" s="1"/>
  <c r="B17" i="7"/>
  <c r="D17" i="5" s="1"/>
  <c r="J14" i="7"/>
  <c r="J27" s="1"/>
  <c r="C39" i="1"/>
  <c r="C40"/>
  <c r="C38"/>
  <c r="C33"/>
  <c r="C24" i="28"/>
  <c r="B18" i="1"/>
  <c r="C21" s="1"/>
  <c r="D37" i="26" l="1"/>
  <c r="E37" i="25" s="1"/>
  <c r="E27" i="18"/>
  <c r="B26" i="32"/>
  <c r="D26"/>
  <c r="C26"/>
  <c r="C31" i="10"/>
  <c r="F31" i="17"/>
  <c r="H14" i="13"/>
  <c r="D18" i="26"/>
  <c r="E18" i="25" s="1"/>
  <c r="B15" i="13"/>
  <c r="E15" i="5" s="1"/>
  <c r="F14" i="13"/>
  <c r="F27" s="1"/>
  <c r="B14" i="14"/>
  <c r="B31" s="1"/>
  <c r="L33" i="26"/>
  <c r="L30" s="1"/>
  <c r="E20" i="6"/>
  <c r="B23"/>
  <c r="C23" i="5" s="1"/>
  <c r="F25" i="7"/>
  <c r="F27" s="1"/>
  <c r="N86" i="26"/>
  <c r="N85" s="1"/>
  <c r="C20" i="4"/>
  <c r="B21" i="5"/>
  <c r="H18"/>
  <c r="C14" i="22"/>
  <c r="C31" s="1"/>
  <c r="E32" s="1"/>
  <c r="G14" i="7"/>
  <c r="G27" s="1"/>
  <c r="B14" i="8"/>
  <c r="B31" s="1"/>
  <c r="B15" i="10"/>
  <c r="B26" i="7"/>
  <c r="B25" s="1"/>
  <c r="L13" i="26"/>
  <c r="F27" i="18"/>
  <c r="D61" i="32"/>
  <c r="D60" s="1"/>
  <c r="C60"/>
  <c r="H14" i="7"/>
  <c r="H27" s="1"/>
  <c r="C14" i="6"/>
  <c r="H27" i="13"/>
  <c r="J27" i="18"/>
  <c r="H20" i="5"/>
  <c r="D42" i="26"/>
  <c r="E42" i="25" s="1"/>
  <c r="E41" s="1"/>
  <c r="F39" s="1"/>
  <c r="N79" i="26"/>
  <c r="N48"/>
  <c r="D48" s="1"/>
  <c r="E48" i="25" s="1"/>
  <c r="H25" i="18"/>
  <c r="H27" s="1"/>
  <c r="B26"/>
  <c r="D25"/>
  <c r="K14" i="7"/>
  <c r="K27" s="1"/>
  <c r="E45" i="26"/>
  <c r="D20"/>
  <c r="E20" i="25" s="1"/>
  <c r="K94" i="26"/>
  <c r="C115" i="16"/>
  <c r="D26" i="17"/>
  <c r="F125" i="16"/>
  <c r="F127" i="20" s="1"/>
  <c r="E82" i="26"/>
  <c r="E81" s="1"/>
  <c r="I14" i="18"/>
  <c r="I27" s="1"/>
  <c r="E17" i="26"/>
  <c r="E14" s="1"/>
  <c r="E14" i="13"/>
  <c r="E27" s="1"/>
  <c r="I27" i="5"/>
  <c r="I27" i="4"/>
  <c r="F31" i="26"/>
  <c r="F30" s="1"/>
  <c r="F13" s="1"/>
  <c r="K86"/>
  <c r="K85" s="1"/>
  <c r="K79" s="1"/>
  <c r="B22" i="7"/>
  <c r="D22" i="5" s="1"/>
  <c r="C14" i="13"/>
  <c r="C27" s="1"/>
  <c r="H15" i="26"/>
  <c r="D15" s="1"/>
  <c r="E15" i="25" s="1"/>
  <c r="N32" i="26"/>
  <c r="N30" s="1"/>
  <c r="N13" s="1"/>
  <c r="D25" i="6"/>
  <c r="B26"/>
  <c r="C20"/>
  <c r="C27" s="1"/>
  <c r="M31" i="26"/>
  <c r="M30" s="1"/>
  <c r="M17"/>
  <c r="B24" i="13"/>
  <c r="E24" i="5" s="1"/>
  <c r="G32" i="26"/>
  <c r="G30" s="1"/>
  <c r="G13" s="1"/>
  <c r="B17" i="6"/>
  <c r="C17" i="5" s="1"/>
  <c r="B17" s="1"/>
  <c r="B14" i="10"/>
  <c r="B31" s="1"/>
  <c r="L81" i="26"/>
  <c r="L79" s="1"/>
  <c r="D82"/>
  <c r="K46"/>
  <c r="K43" s="1"/>
  <c r="D49"/>
  <c r="E49" i="25" s="1"/>
  <c r="D72" i="26"/>
  <c r="E73" i="25"/>
  <c r="E72" s="1"/>
  <c r="I92" i="26"/>
  <c r="B19" i="18"/>
  <c r="F19" i="5" s="1"/>
  <c r="C14" i="18"/>
  <c r="C27" s="1"/>
  <c r="E22" i="5"/>
  <c r="K14" i="26"/>
  <c r="K13" s="1"/>
  <c r="H21"/>
  <c r="I14" i="13"/>
  <c r="I27" s="1"/>
  <c r="B18"/>
  <c r="E18" i="5" s="1"/>
  <c r="D26"/>
  <c r="D25" s="1"/>
  <c r="D23"/>
  <c r="C24"/>
  <c r="B20" i="6"/>
  <c r="B13" i="35"/>
  <c r="B33" s="1"/>
  <c r="I31" i="26"/>
  <c r="I30" s="1"/>
  <c r="B19" i="6"/>
  <c r="C19" i="5" s="1"/>
  <c r="D15" i="10"/>
  <c r="D14" s="1"/>
  <c r="D31" s="1"/>
  <c r="D15" i="6"/>
  <c r="B15" s="1"/>
  <c r="E34" i="26"/>
  <c r="D34" s="1"/>
  <c r="E34" i="25" s="1"/>
  <c r="F14" i="6"/>
  <c r="F27" s="1"/>
  <c r="E14"/>
  <c r="E33" i="26"/>
  <c r="D33" s="1"/>
  <c r="E33" i="25" s="1"/>
  <c r="G14" i="6"/>
  <c r="G27" s="1"/>
  <c r="E35" i="26"/>
  <c r="D35" s="1"/>
  <c r="E35" i="25" s="1"/>
  <c r="C24" i="1"/>
  <c r="C25" i="28"/>
  <c r="D25" s="1"/>
  <c r="B24" i="32"/>
  <c r="C24" s="1"/>
  <c r="D24" s="1"/>
  <c r="E27" i="25"/>
  <c r="E26" s="1"/>
  <c r="D26" i="26"/>
  <c r="C20" i="1"/>
  <c r="C19"/>
  <c r="B21" i="32"/>
  <c r="B18" s="1"/>
  <c r="C21" i="28"/>
  <c r="D21" s="1"/>
  <c r="E52" i="26"/>
  <c r="E51" s="1"/>
  <c r="D53"/>
  <c r="E25" i="5"/>
  <c r="E85" i="26"/>
  <c r="D86"/>
  <c r="F54"/>
  <c r="F51" s="1"/>
  <c r="D60"/>
  <c r="G83"/>
  <c r="G79" s="1"/>
  <c r="D84"/>
  <c r="E14" i="7"/>
  <c r="E27" s="1"/>
  <c r="E47" i="26"/>
  <c r="C14" i="7"/>
  <c r="C27" s="1"/>
  <c r="E36" i="26"/>
  <c r="D36" s="1"/>
  <c r="E36" i="25" s="1"/>
  <c r="B15" i="7"/>
  <c r="C15" i="4"/>
  <c r="B16" i="5"/>
  <c r="G15" i="17"/>
  <c r="G14" s="1"/>
  <c r="G31" s="1"/>
  <c r="G15" i="18"/>
  <c r="C16" i="4"/>
  <c r="C16" i="1"/>
  <c r="B14"/>
  <c r="B17" i="32"/>
  <c r="C18" i="28"/>
  <c r="E77" i="26"/>
  <c r="E63" s="1"/>
  <c r="D78"/>
  <c r="D19"/>
  <c r="E19" i="25" s="1"/>
  <c r="D124" i="23"/>
  <c r="D125" s="1"/>
  <c r="D111" i="37"/>
  <c r="I24" i="26"/>
  <c r="B22" i="24"/>
  <c r="C14"/>
  <c r="C31" s="1"/>
  <c r="G20" i="18"/>
  <c r="E79" i="26" l="1"/>
  <c r="E27" i="6"/>
  <c r="B20" i="7"/>
  <c r="L100" i="26"/>
  <c r="D41"/>
  <c r="D39" s="1"/>
  <c r="N46"/>
  <c r="N43" s="1"/>
  <c r="N100" s="1"/>
  <c r="D31"/>
  <c r="E14" i="5"/>
  <c r="D32" i="22"/>
  <c r="B20" i="13"/>
  <c r="B20" i="4"/>
  <c r="F26" i="5"/>
  <c r="F25" s="1"/>
  <c r="B25" i="18"/>
  <c r="B14" i="13"/>
  <c r="C18" i="4"/>
  <c r="G17"/>
  <c r="G13" s="1"/>
  <c r="H14" i="5"/>
  <c r="H27" s="1"/>
  <c r="E44" i="26"/>
  <c r="D45"/>
  <c r="D22" i="18"/>
  <c r="D24" i="17"/>
  <c r="D23" s="1"/>
  <c r="D31" s="1"/>
  <c r="B26"/>
  <c r="B24" s="1"/>
  <c r="B23" s="1"/>
  <c r="B31" s="1"/>
  <c r="K91" i="26"/>
  <c r="K90" s="1"/>
  <c r="K100" s="1"/>
  <c r="D94"/>
  <c r="E94" i="25" s="1"/>
  <c r="E20" i="5"/>
  <c r="D112" i="37"/>
  <c r="D116" s="1"/>
  <c r="C124" i="16"/>
  <c r="C125" s="1"/>
  <c r="C127" i="20" s="1"/>
  <c r="F100" i="26"/>
  <c r="M14"/>
  <c r="M13" s="1"/>
  <c r="M100" s="1"/>
  <c r="D17"/>
  <c r="E17" i="25" s="1"/>
  <c r="C26" i="5"/>
  <c r="B25" i="6"/>
  <c r="G100" i="26"/>
  <c r="E82" i="25"/>
  <c r="E81" s="1"/>
  <c r="D81" i="26"/>
  <c r="I91"/>
  <c r="I90" s="1"/>
  <c r="D92"/>
  <c r="E92" i="25" s="1"/>
  <c r="C17" i="4"/>
  <c r="B18" i="5"/>
  <c r="H14" i="26"/>
  <c r="H13" s="1"/>
  <c r="H100" s="1"/>
  <c r="D21"/>
  <c r="E21" i="25" s="1"/>
  <c r="C22" i="4"/>
  <c r="B23" i="5"/>
  <c r="D20"/>
  <c r="C23" i="4"/>
  <c r="C20" i="5"/>
  <c r="B24"/>
  <c r="E32" i="26"/>
  <c r="D32" s="1"/>
  <c r="E32" i="25" s="1"/>
  <c r="D14" i="6"/>
  <c r="D27" s="1"/>
  <c r="B22" i="32"/>
  <c r="C17"/>
  <c r="D17" s="1"/>
  <c r="B15"/>
  <c r="D32" i="30"/>
  <c r="F20" s="1"/>
  <c r="B31" i="1"/>
  <c r="C14" s="1"/>
  <c r="G14" i="18"/>
  <c r="G27" s="1"/>
  <c r="E99" i="26"/>
  <c r="B15" i="18"/>
  <c r="B14" i="7"/>
  <c r="B27" s="1"/>
  <c r="D15" i="5"/>
  <c r="D14" s="1"/>
  <c r="D52" i="26"/>
  <c r="E53" i="25"/>
  <c r="E52" s="1"/>
  <c r="G19" i="5"/>
  <c r="E18" i="4" s="1"/>
  <c r="B14" i="24"/>
  <c r="B31" s="1"/>
  <c r="I23" i="26"/>
  <c r="I13" s="1"/>
  <c r="D24"/>
  <c r="D77"/>
  <c r="D63" s="1"/>
  <c r="E78" i="25"/>
  <c r="E77" s="1"/>
  <c r="F63" s="1"/>
  <c r="D18" i="28"/>
  <c r="C16"/>
  <c r="B16" i="4"/>
  <c r="B15"/>
  <c r="D47" i="26"/>
  <c r="E46"/>
  <c r="E31" i="25"/>
  <c r="E84"/>
  <c r="E83" s="1"/>
  <c r="D83" i="26"/>
  <c r="E60" i="25"/>
  <c r="E54" s="1"/>
  <c r="D54" i="26"/>
  <c r="E86" i="25"/>
  <c r="E85" s="1"/>
  <c r="D85" i="26"/>
  <c r="E14" i="25" l="1"/>
  <c r="G24" i="4"/>
  <c r="G27" s="1"/>
  <c r="E27" i="5"/>
  <c r="D30" i="26"/>
  <c r="B27" i="13"/>
  <c r="F22" i="1"/>
  <c r="H27" i="28" s="1"/>
  <c r="B43" i="32" s="1"/>
  <c r="C43" s="1"/>
  <c r="D43" s="1"/>
  <c r="J20" i="4"/>
  <c r="F20"/>
  <c r="H20"/>
  <c r="E43" i="26"/>
  <c r="I100"/>
  <c r="B17" i="4"/>
  <c r="F17" s="1"/>
  <c r="D20"/>
  <c r="E45" i="25"/>
  <c r="E44" s="1"/>
  <c r="D44" i="26"/>
  <c r="D27" i="5"/>
  <c r="D117" i="37"/>
  <c r="D119"/>
  <c r="D20" i="18"/>
  <c r="D27" s="1"/>
  <c r="B22"/>
  <c r="D14" i="26"/>
  <c r="D16" i="4"/>
  <c r="D15"/>
  <c r="C25" i="5"/>
  <c r="B26"/>
  <c r="B25" s="1"/>
  <c r="C26" i="4"/>
  <c r="H17"/>
  <c r="B22"/>
  <c r="D22" s="1"/>
  <c r="B23"/>
  <c r="D23" s="1"/>
  <c r="E30" i="25"/>
  <c r="E30" i="26"/>
  <c r="E13" s="1"/>
  <c r="C15" i="5"/>
  <c r="C14" s="1"/>
  <c r="B14" i="6"/>
  <c r="B27" s="1"/>
  <c r="B14" i="32"/>
  <c r="B32" s="1"/>
  <c r="C22"/>
  <c r="D22"/>
  <c r="F79" i="25"/>
  <c r="D79" i="26"/>
  <c r="D16" i="28"/>
  <c r="C37"/>
  <c r="E24" i="25"/>
  <c r="E23" s="1"/>
  <c r="D23" i="26"/>
  <c r="F51" i="25"/>
  <c r="D99" i="26"/>
  <c r="E91"/>
  <c r="E90" s="1"/>
  <c r="D15" i="32"/>
  <c r="C15"/>
  <c r="C14" s="1"/>
  <c r="C32" s="1"/>
  <c r="E47" i="25"/>
  <c r="E46" s="1"/>
  <c r="D46" i="26"/>
  <c r="D43" s="1"/>
  <c r="F15" i="4"/>
  <c r="F17" i="1"/>
  <c r="H15" i="4"/>
  <c r="J15"/>
  <c r="F18" i="1"/>
  <c r="F16" i="4"/>
  <c r="J16"/>
  <c r="H16"/>
  <c r="G14" i="5"/>
  <c r="G27" s="1"/>
  <c r="B19"/>
  <c r="D51" i="26"/>
  <c r="B14" i="18"/>
  <c r="F15" i="5"/>
  <c r="C14" i="4"/>
  <c r="D20" i="2"/>
  <c r="D22" s="1"/>
  <c r="C22" i="1"/>
  <c r="C25"/>
  <c r="B41"/>
  <c r="C31" s="1"/>
  <c r="C15"/>
  <c r="C18"/>
  <c r="F43" i="25" l="1"/>
  <c r="F19" i="1"/>
  <c r="D17" i="4"/>
  <c r="C27" i="5"/>
  <c r="J17" i="4"/>
  <c r="E100" i="26"/>
  <c r="F22" i="5"/>
  <c r="B20" i="18"/>
  <c r="B27" s="1"/>
  <c r="D13" i="26"/>
  <c r="B26" i="4"/>
  <c r="C25"/>
  <c r="H22"/>
  <c r="F22"/>
  <c r="J22"/>
  <c r="F25" i="1"/>
  <c r="H30" i="28" s="1"/>
  <c r="B45" i="32" s="1"/>
  <c r="C45" s="1"/>
  <c r="D45" s="1"/>
  <c r="F23" i="4"/>
  <c r="H23"/>
  <c r="J23"/>
  <c r="F13" i="25"/>
  <c r="D14" i="32"/>
  <c r="D32" s="1"/>
  <c r="D64" s="1"/>
  <c r="F14" i="5"/>
  <c r="B15"/>
  <c r="B14" s="1"/>
  <c r="H21" i="28"/>
  <c r="B38" i="32" s="1"/>
  <c r="C38" s="1"/>
  <c r="D38" s="1"/>
  <c r="E99" i="25"/>
  <c r="E91" s="1"/>
  <c r="F90" s="1"/>
  <c r="D91" i="26"/>
  <c r="D90" s="1"/>
  <c r="F39" i="1"/>
  <c r="C32"/>
  <c r="C41" s="1"/>
  <c r="C13" i="4"/>
  <c r="B14"/>
  <c r="E13"/>
  <c r="E24" s="1"/>
  <c r="B18"/>
  <c r="H20" i="28"/>
  <c r="B37" i="32" s="1"/>
  <c r="D37" i="28"/>
  <c r="C44"/>
  <c r="J28" i="18" l="1"/>
  <c r="E28"/>
  <c r="H28"/>
  <c r="C28"/>
  <c r="I28"/>
  <c r="F28"/>
  <c r="G28"/>
  <c r="D28"/>
  <c r="C37" i="32"/>
  <c r="D37" s="1"/>
  <c r="F55" i="25"/>
  <c r="F59" s="1"/>
  <c r="F100" s="1"/>
  <c r="D33" i="30"/>
  <c r="F23" s="1"/>
  <c r="H22" i="28"/>
  <c r="D100" i="26"/>
  <c r="F20" i="5"/>
  <c r="F27" s="1"/>
  <c r="C21" i="4"/>
  <c r="B22" i="5"/>
  <c r="B20" s="1"/>
  <c r="B27" s="1"/>
  <c r="C46" i="32"/>
  <c r="D46" s="1"/>
  <c r="F18" i="4"/>
  <c r="B25"/>
  <c r="H26"/>
  <c r="D26"/>
  <c r="J26"/>
  <c r="F26"/>
  <c r="D44" i="28"/>
  <c r="H42"/>
  <c r="B13" i="4"/>
  <c r="H14"/>
  <c r="J14"/>
  <c r="F14"/>
  <c r="F16" i="1"/>
  <c r="H18" i="4"/>
  <c r="F20" i="1"/>
  <c r="J18" i="4"/>
  <c r="D18"/>
  <c r="D14"/>
  <c r="C17" i="29" l="1"/>
  <c r="B39" i="32"/>
  <c r="C39" s="1"/>
  <c r="D39" s="1"/>
  <c r="G28" i="5"/>
  <c r="H28"/>
  <c r="I28"/>
  <c r="E28"/>
  <c r="D28"/>
  <c r="C28"/>
  <c r="F28"/>
  <c r="B21" i="4"/>
  <c r="C19"/>
  <c r="H23" i="28"/>
  <c r="B40" i="32" s="1"/>
  <c r="C40" s="1"/>
  <c r="D40" s="1"/>
  <c r="E27" i="4"/>
  <c r="F15" i="1"/>
  <c r="C16" i="29" s="1"/>
  <c r="H19" i="28"/>
  <c r="D28" i="30"/>
  <c r="C24" i="4" l="1"/>
  <c r="C27" s="1"/>
  <c r="D24" s="1"/>
  <c r="B28" i="5"/>
  <c r="F23" i="1"/>
  <c r="B19" i="4"/>
  <c r="B24" s="1"/>
  <c r="B27" s="1"/>
  <c r="J27" s="1"/>
  <c r="F21"/>
  <c r="J21"/>
  <c r="D21"/>
  <c r="H21"/>
  <c r="F14" i="1"/>
  <c r="F22" i="30"/>
  <c r="H18" i="28"/>
  <c r="B36" i="32"/>
  <c r="C36" s="1"/>
  <c r="J19" i="4"/>
  <c r="F19"/>
  <c r="H24"/>
  <c r="J13"/>
  <c r="H19"/>
  <c r="D25"/>
  <c r="D13"/>
  <c r="F24"/>
  <c r="F13" l="1"/>
  <c r="D19"/>
  <c r="H25"/>
  <c r="J25"/>
  <c r="F25"/>
  <c r="J24"/>
  <c r="H13"/>
  <c r="D27"/>
  <c r="F27"/>
  <c r="H27"/>
  <c r="H28" i="28"/>
  <c r="D29" i="30"/>
  <c r="B35" i="32"/>
  <c r="B34" s="1"/>
  <c r="D31" i="30"/>
  <c r="F21" s="1"/>
  <c r="I18" i="28"/>
  <c r="H16"/>
  <c r="F31" i="1" l="1"/>
  <c r="D13" i="2"/>
  <c r="D18" s="1"/>
  <c r="D24" s="1"/>
  <c r="D35" s="1"/>
  <c r="D27" i="30"/>
  <c r="F16" s="1"/>
  <c r="C25" i="29"/>
  <c r="B44" i="32"/>
  <c r="C44" s="1"/>
  <c r="D44" s="1"/>
  <c r="H37" i="28"/>
  <c r="I16"/>
  <c r="C18" i="29"/>
  <c r="G27" i="1"/>
  <c r="G28"/>
  <c r="F40"/>
  <c r="G24"/>
  <c r="C35" i="32"/>
  <c r="C34" s="1"/>
  <c r="D36"/>
  <c r="D35" s="1"/>
  <c r="D34" s="1"/>
  <c r="G23" i="1" l="1"/>
  <c r="G26"/>
  <c r="G25"/>
  <c r="G22"/>
  <c r="F18" i="30"/>
  <c r="F17"/>
  <c r="F41" i="1"/>
  <c r="G31"/>
  <c r="C33" i="29"/>
  <c r="D33" s="1"/>
  <c r="B47" i="32"/>
  <c r="B67" s="1"/>
  <c r="H43" i="28"/>
  <c r="H44" s="1"/>
  <c r="D42" i="32" l="1"/>
  <c r="D47" s="1"/>
  <c r="D67" s="1"/>
  <c r="C42"/>
  <c r="C47" s="1"/>
  <c r="C67" s="1"/>
</calcChain>
</file>

<file path=xl/sharedStrings.xml><?xml version="1.0" encoding="utf-8"?>
<sst xmlns="http://schemas.openxmlformats.org/spreadsheetml/2006/main" count="3757" uniqueCount="873">
  <si>
    <t>CUADRO RESUMEN DE RECURSOS, FINANCIAMIENTO Y EROGACIONES</t>
  </si>
  <si>
    <t>RECURSOS CORRIENTES</t>
  </si>
  <si>
    <t>DEPARTAMENTO EJECUTIVO - HONORABLE CONCEJO DELIBERANTE - FUEROS ADMINISTRATIVO DE TRÁNSITO</t>
  </si>
  <si>
    <t xml:space="preserve">CONCEPTOS </t>
  </si>
  <si>
    <t>IMPORTES</t>
  </si>
  <si>
    <t>%</t>
  </si>
  <si>
    <t xml:space="preserve">  De Origen Provincial</t>
  </si>
  <si>
    <t xml:space="preserve">    Régimen de Participación Provincial</t>
  </si>
  <si>
    <t xml:space="preserve">    Otros Ingresos de Jurisdicción Provincial</t>
  </si>
  <si>
    <t xml:space="preserve">  De Origen Nacional</t>
  </si>
  <si>
    <t xml:space="preserve">    Régimen de Participación Nacional</t>
  </si>
  <si>
    <t xml:space="preserve">    Otros Ingresos de Jurisdicción Nacional</t>
  </si>
  <si>
    <t xml:space="preserve">  De Jurisdicción Municipal</t>
  </si>
  <si>
    <t xml:space="preserve">    Regalías</t>
  </si>
  <si>
    <t xml:space="preserve">    Tasas y Derechos Municipales</t>
  </si>
  <si>
    <t xml:space="preserve">    Otros Ingresos de Origen Municipal</t>
  </si>
  <si>
    <t>RECURSOS DE CAPITAL</t>
  </si>
  <si>
    <t xml:space="preserve">    Venta de Bienes de Uso</t>
  </si>
  <si>
    <t xml:space="preserve">    Reembolso de Obras Públicas</t>
  </si>
  <si>
    <t xml:space="preserve">    Reembolsos de Préstamos</t>
  </si>
  <si>
    <t xml:space="preserve">    Otros Recursos de Capital</t>
  </si>
  <si>
    <t xml:space="preserve">    Transf. Fdos para Inv. Obras Públicas</t>
  </si>
  <si>
    <t>TOTAL DE RECURSOS</t>
  </si>
  <si>
    <t>FINANCIAMIENTO</t>
  </si>
  <si>
    <t xml:space="preserve">  Uso del Crédito</t>
  </si>
  <si>
    <t xml:space="preserve">    Uso del Crédito de Entidades Financieras</t>
  </si>
  <si>
    <t xml:space="preserve">    Uso del Crédito del Gobierno Provincial</t>
  </si>
  <si>
    <r>
      <t xml:space="preserve">    Uso del Crédito de Proveed y Contr.</t>
    </r>
    <r>
      <rPr>
        <sz val="8"/>
        <color indexed="8"/>
        <rFont val="Calibri"/>
        <family val="2"/>
      </rPr>
      <t>(Deuda Flotante)</t>
    </r>
  </si>
  <si>
    <t xml:space="preserve">  Aportes No Reintegrables</t>
  </si>
  <si>
    <t xml:space="preserve">  Aportes Reintegrables</t>
  </si>
  <si>
    <t xml:space="preserve">  Remanentes de Ejercicios Anteriores</t>
  </si>
  <si>
    <t xml:space="preserve">  Adelantos a Proveedores y Contratistas</t>
  </si>
  <si>
    <t>TOTAL DE RECURSOS Y FINANCIAMIENTO</t>
  </si>
  <si>
    <t>EROGACIONES CORRIENTES</t>
  </si>
  <si>
    <t xml:space="preserve">  Operación</t>
  </si>
  <si>
    <t xml:space="preserve">    Personal</t>
  </si>
  <si>
    <t xml:space="preserve">    Bienes de Consumo</t>
  </si>
  <si>
    <t xml:space="preserve">    Servicios</t>
  </si>
  <si>
    <t xml:space="preserve">    Intereses y Gtos de la Deuda</t>
  </si>
  <si>
    <t xml:space="preserve">    Transferencias Corrientes</t>
  </si>
  <si>
    <t>EROGACIONES DE CAPITAL</t>
  </si>
  <si>
    <t xml:space="preserve">    Bienes de Capital</t>
  </si>
  <si>
    <t xml:space="preserve">    Trabajos Públicos</t>
  </si>
  <si>
    <t xml:space="preserve">    Bienes Preexistentes</t>
  </si>
  <si>
    <t xml:space="preserve">    Inversión Financiera</t>
  </si>
  <si>
    <t>OTRAS EROGACIONES</t>
  </si>
  <si>
    <t xml:space="preserve">    Amortización de la Deuda Consolidada</t>
  </si>
  <si>
    <t xml:space="preserve">    Amortización de la Deuda Flotante</t>
  </si>
  <si>
    <t>TOTAL DE EROGACIONES</t>
  </si>
  <si>
    <t>RESUMEN GENERAL</t>
  </si>
  <si>
    <t>TOTAL de RECURSOS y FINANCIAMIENTO</t>
  </si>
  <si>
    <t>TOTAL de EROGACIONES</t>
  </si>
  <si>
    <t>DIFERENCIA</t>
  </si>
  <si>
    <t>DETERMINACIÓN DE LA NECESIDAD DE FINANCIAMIENTO</t>
  </si>
  <si>
    <t>RUBROS</t>
  </si>
  <si>
    <t xml:space="preserve">    Total de Erogaciones Presupuestadas</t>
  </si>
  <si>
    <t>Mas</t>
  </si>
  <si>
    <t xml:space="preserve">    Deuda Consolidada</t>
  </si>
  <si>
    <t>Sub-Total</t>
  </si>
  <si>
    <t xml:space="preserve">    Total de Recursos Presupuestadas</t>
  </si>
  <si>
    <t>NECESIDAD DE FINANCIAMIENTO</t>
  </si>
  <si>
    <t>SUMAS IGUALES</t>
  </si>
  <si>
    <t>CALCULO DE RECURSOS Y FINANCIAMIENTO</t>
  </si>
  <si>
    <t>SECC</t>
  </si>
  <si>
    <t>ORIG</t>
  </si>
  <si>
    <t>SECT</t>
  </si>
  <si>
    <t>P.PRINC</t>
  </si>
  <si>
    <t>P.PARC</t>
  </si>
  <si>
    <t>P.SUP</t>
  </si>
  <si>
    <t>CÓDIGO</t>
  </si>
  <si>
    <t>CLASIFICACIÓN ECONÓMICA Y POR OBJETO</t>
  </si>
  <si>
    <t>$</t>
  </si>
  <si>
    <t>DE ORIGEN PROVINCIAL</t>
  </si>
  <si>
    <t>RÉGIMEN DE PARTICIPACIÓN PROVINCIAL</t>
  </si>
  <si>
    <t>01</t>
  </si>
  <si>
    <t>Distribución Primaria</t>
  </si>
  <si>
    <t>02</t>
  </si>
  <si>
    <t>03</t>
  </si>
  <si>
    <t>04</t>
  </si>
  <si>
    <t>05</t>
  </si>
  <si>
    <t>06</t>
  </si>
  <si>
    <t>07</t>
  </si>
  <si>
    <t>08</t>
  </si>
  <si>
    <t>Impuesto Inmobiliario</t>
  </si>
  <si>
    <t>Impuesto sobre los Ingresos Brutos</t>
  </si>
  <si>
    <t>Impuesto a los automotores</t>
  </si>
  <si>
    <t>Impuesto a los sellos</t>
  </si>
  <si>
    <t>Participación en Otros Impuestos</t>
  </si>
  <si>
    <t>Participación Ejercicios Vencidos</t>
  </si>
  <si>
    <t>Participación Municipal Tránsito y Transporte Ley 5800</t>
  </si>
  <si>
    <t>Fondo de Promoción Turística</t>
  </si>
  <si>
    <t>Fondo Compensador</t>
  </si>
  <si>
    <t>Participación a Clasificar</t>
  </si>
  <si>
    <t>09</t>
  </si>
  <si>
    <t>10</t>
  </si>
  <si>
    <t>OTROS INGRESOS DE JURISDICCIÓN PROVINCIAL</t>
  </si>
  <si>
    <t>Fondos de Programas Descentralizados</t>
  </si>
  <si>
    <t>Fondo para Desarrollo Social</t>
  </si>
  <si>
    <t>001</t>
  </si>
  <si>
    <t>FIDES - Emergencia Social</t>
  </si>
  <si>
    <t>FIDES - Fortalecemiento Institucional</t>
  </si>
  <si>
    <t>DINAADYF- Prog. Prot. Dchos. Niños y Adolecentes</t>
  </si>
  <si>
    <t>002</t>
  </si>
  <si>
    <t>009</t>
  </si>
  <si>
    <t>017</t>
  </si>
  <si>
    <t>FIDES - Dchos. P. Jovenes de la Esquina a la Escuela</t>
  </si>
  <si>
    <t>Fondos para el Desarrollo Turístico</t>
  </si>
  <si>
    <t>Programa de Incubadoras de Empresas</t>
  </si>
  <si>
    <t>Fondos para el Desarrollo Económico</t>
  </si>
  <si>
    <t>003</t>
  </si>
  <si>
    <t>Programa de Incubadoras Textil</t>
  </si>
  <si>
    <t>Fondos para el Desarrollo Deportivo</t>
  </si>
  <si>
    <t>004</t>
  </si>
  <si>
    <t>Deporte Vivamos el Verano</t>
  </si>
  <si>
    <t>Otros Fondos Descentralizados</t>
  </si>
  <si>
    <t>Convenio Epre</t>
  </si>
  <si>
    <t>Ingresos Juegos y Casinos</t>
  </si>
  <si>
    <t>012</t>
  </si>
  <si>
    <t>Red Municipios Saludables</t>
  </si>
  <si>
    <t>016</t>
  </si>
  <si>
    <t>Fondos Ordenamiento Territorial-Ley 8051</t>
  </si>
  <si>
    <t>DE ORIGEN NACIONAL</t>
  </si>
  <si>
    <t>RÉGIMEN DE COPARTICIPACIÓN NACIONAL</t>
  </si>
  <si>
    <t>Distribución Secundaria</t>
  </si>
  <si>
    <t>Distribución Secundaria Vencida</t>
  </si>
  <si>
    <t>OTROS INGRESOS DE JURISDICCIÓN NACIONAL</t>
  </si>
  <si>
    <t>Programa Mas y Mejor Trabajo</t>
  </si>
  <si>
    <t>Fdos para Mejoramiento, Gestión y Tratamiento R.Solidos</t>
  </si>
  <si>
    <t>Ministerio de Salud de la Nación</t>
  </si>
  <si>
    <t>17</t>
  </si>
  <si>
    <t>M. Salud Nación Plan Nacer</t>
  </si>
  <si>
    <t>DE JURISDICCIÓN MUNICIPAL</t>
  </si>
  <si>
    <t>TASAS Y DERECHOS MUNICIPALES</t>
  </si>
  <si>
    <t>Derechos por Servicios a la Propiedad Raíz</t>
  </si>
  <si>
    <t>Dchos por Servicios a la Propiedad Raíz (E.Cte.)</t>
  </si>
  <si>
    <t>Ecotasa</t>
  </si>
  <si>
    <t>Canastos para Residuos (E.Cte.)</t>
  </si>
  <si>
    <t>Dchos por Servicios a la Propiedad Raíz (E.Anteriores)</t>
  </si>
  <si>
    <t>Canastos para Residuos (E.Anteriores)</t>
  </si>
  <si>
    <t>Derechos de Inspección Comercio Ind y Servicios</t>
  </si>
  <si>
    <t>Derechos de Inspección Comercio Ind y Servicios (E.Cte)</t>
  </si>
  <si>
    <t>Derechos de Inspección Comercio Ind y Servicios (E.Anteriores)</t>
  </si>
  <si>
    <t>Derechos de Cementerio</t>
  </si>
  <si>
    <t>Derechos de Cementerio (E.Cte)</t>
  </si>
  <si>
    <t>Derechos de Cementerio (E.Anteriores)</t>
  </si>
  <si>
    <t>Derechos de Recolección Especial (E.Cte.)</t>
  </si>
  <si>
    <t>Derechos de Recolección Especial (E.Anteriores)</t>
  </si>
  <si>
    <t>Derechos de Actuación Administrativa</t>
  </si>
  <si>
    <t xml:space="preserve">Derechos de Edificación </t>
  </si>
  <si>
    <t>Derechos de Públicidad y Propaganda</t>
  </si>
  <si>
    <t>Derechos de Concesiones</t>
  </si>
  <si>
    <t>11</t>
  </si>
  <si>
    <t>Derechos de Insp. Sanitaria Higiene Urbana y Saneam. Ambiental</t>
  </si>
  <si>
    <t>12</t>
  </si>
  <si>
    <t>Unidad de Calidad Ambiental</t>
  </si>
  <si>
    <t>13</t>
  </si>
  <si>
    <t>Planes de Consolidación</t>
  </si>
  <si>
    <t>14</t>
  </si>
  <si>
    <t>Otros Derechos</t>
  </si>
  <si>
    <t>15</t>
  </si>
  <si>
    <t>Comisión Administrativa</t>
  </si>
  <si>
    <t>OTROS INGRESOS DE ORIGEN MUNICIPAL</t>
  </si>
  <si>
    <t>Multas Generales</t>
  </si>
  <si>
    <t>Multas Generales (E. Cte.)</t>
  </si>
  <si>
    <t>Multas Generales (E. Anteriores)</t>
  </si>
  <si>
    <t xml:space="preserve">Multas a Proveedores </t>
  </si>
  <si>
    <t>Intereses y Recargos</t>
  </si>
  <si>
    <t>Intereses y Recargos  (E. Cte.)</t>
  </si>
  <si>
    <t>Intereses y Recargos (E. Anteriores)</t>
  </si>
  <si>
    <t>Producido de Actividades Culturales</t>
  </si>
  <si>
    <t>Producido de Servicios Especiales</t>
  </si>
  <si>
    <t>Control de Animales</t>
  </si>
  <si>
    <t>Desinfecciones en General</t>
  </si>
  <si>
    <t>Erradicación de Forestales</t>
  </si>
  <si>
    <t>Servicios Especiales Varios</t>
  </si>
  <si>
    <t>Producido de Multas de Tránsito</t>
  </si>
  <si>
    <t>Multas por Accidentes Viales</t>
  </si>
  <si>
    <t>Multas por Infracciones de Tránsito</t>
  </si>
  <si>
    <t>Comisión Administrativa por Infracción de Tránsito</t>
  </si>
  <si>
    <t>Derechos de Traslado - Tránsito</t>
  </si>
  <si>
    <t>Derechos de Bodegaje - Tránsito</t>
  </si>
  <si>
    <t>Producido de Estacionamiento Medido</t>
  </si>
  <si>
    <t>Producido de Convenios Especiales</t>
  </si>
  <si>
    <t>Conv con EDMSA - Alumbrado Público</t>
  </si>
  <si>
    <t>Conv con Coop.Elec.G.Cruz Reconv. Alumbrado Público</t>
  </si>
  <si>
    <t>Producido de Convenios I.P.V.</t>
  </si>
  <si>
    <t>Ingresos Operativos I.P.V.</t>
  </si>
  <si>
    <t>Recursos Eventuales</t>
  </si>
  <si>
    <t>Rentas Financieras</t>
  </si>
  <si>
    <t>Gastos Recuperados</t>
  </si>
  <si>
    <t>Reintegros de A.R.T.</t>
  </si>
  <si>
    <t>Venta de Ejemplares - Memoria de Godoy Cruz</t>
  </si>
  <si>
    <t xml:space="preserve">Convenio Banco Supervil </t>
  </si>
  <si>
    <t>Recupero de Fondos en Programas de Terceros</t>
  </si>
  <si>
    <t>Censo de Arbolado Público</t>
  </si>
  <si>
    <t>Red Semafórica - Recanvio de Ópticas Led</t>
  </si>
  <si>
    <t xml:space="preserve">TOTAL DE RECURSOS CORRIENTES </t>
  </si>
  <si>
    <t>VENTA DE BIENES DE USO</t>
  </si>
  <si>
    <t>Venta de Inmuebles</t>
  </si>
  <si>
    <t>Venta de Muebles</t>
  </si>
  <si>
    <t>Venta de Semovientes</t>
  </si>
  <si>
    <t>REEMBOLSO DE OBRAS PÚBLICAS</t>
  </si>
  <si>
    <t>Obras de Pavimentación</t>
  </si>
  <si>
    <t>Obras de Cloacas</t>
  </si>
  <si>
    <t>Red de Agua Potable y Cloacas</t>
  </si>
  <si>
    <t>Alumbrado Público</t>
  </si>
  <si>
    <t>Red Gas Natural</t>
  </si>
  <si>
    <t>Obras Cordón, Cunetas y Banquinas-Obras Urban y Remod.</t>
  </si>
  <si>
    <t>Obras BCC - Urbanas y Remodelación (E. Anteriores)</t>
  </si>
  <si>
    <t>Contribución de Mejoras</t>
  </si>
  <si>
    <t>Ejercicios Anteriores</t>
  </si>
  <si>
    <t>Fondo Apoyo Desarrollo Productivo</t>
  </si>
  <si>
    <t>OTROS RECURSOS DE CAPITAL</t>
  </si>
  <si>
    <t>TRANSF. DE FONDOS PARA INVERSIÓN PÚBLICA</t>
  </si>
  <si>
    <t>De Origen Provincial</t>
  </si>
  <si>
    <t>Fondo Pavimentación</t>
  </si>
  <si>
    <t>19</t>
  </si>
  <si>
    <t>Ley 5800 Contraprestaciones Empresariales</t>
  </si>
  <si>
    <t>21</t>
  </si>
  <si>
    <t>Plan de Obras 2013 con Fondos Provinciales</t>
  </si>
  <si>
    <t>De Origen Nacional</t>
  </si>
  <si>
    <t>Fondo Solidario Federal</t>
  </si>
  <si>
    <t>TOTAL DE RECURSOS DE CAPITAL</t>
  </si>
  <si>
    <t>USO DEL CRÉDITO</t>
  </si>
  <si>
    <t>Gobierno Provincial</t>
  </si>
  <si>
    <t>A Corto Plazo</t>
  </si>
  <si>
    <t>A Largo Plazo</t>
  </si>
  <si>
    <t>Instituciones Financieras</t>
  </si>
  <si>
    <t xml:space="preserve">Proveedores y Contratistas </t>
  </si>
  <si>
    <t>APORTES NO REINTEGRABLES</t>
  </si>
  <si>
    <t>De Jurisdicción Nacional</t>
  </si>
  <si>
    <t>De Jurisdicción Provincial</t>
  </si>
  <si>
    <t>De Otras Jurisdicciones</t>
  </si>
  <si>
    <t>Fondo Fiduciario de Obras Públicas</t>
  </si>
  <si>
    <t>APORTES REINTEGRABLES</t>
  </si>
  <si>
    <t>REMANENTES DE EJERCICIOS ANTERIORES</t>
  </si>
  <si>
    <t xml:space="preserve">ADELANTOS A PROVEEDORES Y CONTRATISTAS </t>
  </si>
  <si>
    <t>REEMBOLSO DE PRÉSTAMOS</t>
  </si>
  <si>
    <t>EROGACIONES CONSOLIDADAS POR JURISDICCIÓN</t>
  </si>
  <si>
    <t>TOTAL</t>
  </si>
  <si>
    <t>DPTO EJECUTIVO</t>
  </si>
  <si>
    <t xml:space="preserve">% </t>
  </si>
  <si>
    <t>H.C.D</t>
  </si>
  <si>
    <t>SERV. ESPEC</t>
  </si>
  <si>
    <t>JUZGADOS</t>
  </si>
  <si>
    <t xml:space="preserve">EROGACIONES CORRIENTES </t>
  </si>
  <si>
    <t xml:space="preserve"> Personal</t>
  </si>
  <si>
    <t xml:space="preserve"> Bienes de Consumo</t>
  </si>
  <si>
    <t xml:space="preserve"> Servicios</t>
  </si>
  <si>
    <t xml:space="preserve"> Int y Gtos de la Deuda</t>
  </si>
  <si>
    <t xml:space="preserve"> Transferencias Corrientes</t>
  </si>
  <si>
    <t>EROGACIONES de CAPITAL</t>
  </si>
  <si>
    <t xml:space="preserve"> Bienes de Capital</t>
  </si>
  <si>
    <t xml:space="preserve"> Trabajos Públicos </t>
  </si>
  <si>
    <t xml:space="preserve"> Inversión Financiera </t>
  </si>
  <si>
    <t xml:space="preserve"> Bienes Preexistentes</t>
  </si>
  <si>
    <t xml:space="preserve"> Amortización de la Deuda</t>
  </si>
  <si>
    <r>
      <t>SUBTOTAL EROGACIONES</t>
    </r>
    <r>
      <rPr>
        <b/>
        <sz val="8"/>
        <color indexed="8"/>
        <rFont val="Calibri"/>
        <family val="2"/>
      </rPr>
      <t xml:space="preserve"> (sin Intereses y  Gatos de la Deuda)</t>
    </r>
  </si>
  <si>
    <t>INTENDENCIA</t>
  </si>
  <si>
    <t>GOBIERNO</t>
  </si>
  <si>
    <t>HACIENDA</t>
  </si>
  <si>
    <t>O. y S.PÚBLICOS</t>
  </si>
  <si>
    <t>SERV. ESPEC.</t>
  </si>
  <si>
    <t>SEC. PRIVADA</t>
  </si>
  <si>
    <t>JURÍDICA</t>
  </si>
  <si>
    <t>APOD.MUNIC</t>
  </si>
  <si>
    <t>COM.SOCIAL</t>
  </si>
  <si>
    <t>DEPARTAMENTO EJECUTIVO - SECRETARÍA DE GOBIERNO</t>
  </si>
  <si>
    <t>DEPARTAMENTO EJECUTIVO  - INTENDENCIA</t>
  </si>
  <si>
    <t xml:space="preserve">SECRETARIA </t>
  </si>
  <si>
    <t>REL. COMUNIDAD</t>
  </si>
  <si>
    <t>INSP. GRAL</t>
  </si>
  <si>
    <t>DEPORTES</t>
  </si>
  <si>
    <t>CULTURA</t>
  </si>
  <si>
    <t>EDUCACIÓN</t>
  </si>
  <si>
    <t>DES. SOCIAL</t>
  </si>
  <si>
    <t>ADMINISTRACIÓN</t>
  </si>
  <si>
    <t>SALUD</t>
  </si>
  <si>
    <t>PROM.ECONOM</t>
  </si>
  <si>
    <t xml:space="preserve">   Permanente</t>
  </si>
  <si>
    <t xml:space="preserve">   Temporario</t>
  </si>
  <si>
    <t>Operación</t>
  </si>
  <si>
    <t>Inversión Real</t>
  </si>
  <si>
    <t>4.1.1.1.</t>
  </si>
  <si>
    <t>PERSONAL PERMANENTE</t>
  </si>
  <si>
    <t>SECRETARIA</t>
  </si>
  <si>
    <t>Asignación de la Clase</t>
  </si>
  <si>
    <t>Bonificación por Antigüedad</t>
  </si>
  <si>
    <t>Adicionales Especiales</t>
  </si>
  <si>
    <t>Bonificación por M.Dedicación</t>
  </si>
  <si>
    <t>Suplementos Varios</t>
  </si>
  <si>
    <t>Suplmentos por Riesgo</t>
  </si>
  <si>
    <t>Sueldo Anual Complementario</t>
  </si>
  <si>
    <t>Asignación Familiar</t>
  </si>
  <si>
    <t>Bonif por Título y/o Resp. Profecional</t>
  </si>
  <si>
    <t>Adicional no Remunerativo y/o Bonif.</t>
  </si>
  <si>
    <t>Contribución Jubilatoria</t>
  </si>
  <si>
    <t>Contribución O. Social</t>
  </si>
  <si>
    <t>Contribución A.R.T.</t>
  </si>
  <si>
    <t>Otras Contribuciones</t>
  </si>
  <si>
    <t xml:space="preserve">TOTAL </t>
  </si>
  <si>
    <t>PERSONAL TEMPORARIO</t>
  </si>
  <si>
    <t>BIENES DE CONSUMO</t>
  </si>
  <si>
    <t>4.1.1.2.</t>
  </si>
  <si>
    <t>4.1.2.</t>
  </si>
  <si>
    <t>16</t>
  </si>
  <si>
    <t>18</t>
  </si>
  <si>
    <t>Alimentos, racionamiento y refrigerios</t>
  </si>
  <si>
    <t>Forrajes y alimentos para animales</t>
  </si>
  <si>
    <t>Combustibles y lubricantes</t>
  </si>
  <si>
    <t>Uniformes y equipos para el personal</t>
  </si>
  <si>
    <t>Útiles, papelería y elementos oficina</t>
  </si>
  <si>
    <t>Mateial didáctico y deportivo</t>
  </si>
  <si>
    <t>Prod medicinales y elem compl para la salud</t>
  </si>
  <si>
    <t>Fertiliz y productos para sanidad vegetal y animal</t>
  </si>
  <si>
    <t>Artículos de limpieza y desinfección</t>
  </si>
  <si>
    <t>Artículos de bazar y menaje</t>
  </si>
  <si>
    <t>Elem para la conserv de inmuebles e instal.</t>
  </si>
  <si>
    <t>Elem  para la conserv de rodados y maquinarias</t>
  </si>
  <si>
    <t>Elem para la conserv de muebles y otros bs capital</t>
  </si>
  <si>
    <t>Insumos para bs informáticos</t>
  </si>
  <si>
    <t>Otros bienes de consumo</t>
  </si>
  <si>
    <t>PAC bienes de consumo</t>
  </si>
  <si>
    <t>4.1.3.</t>
  </si>
  <si>
    <t>SERVICIOS</t>
  </si>
  <si>
    <t>Electricidad, gas, agua y cloacas</t>
  </si>
  <si>
    <t>Transporte y almacenamiento</t>
  </si>
  <si>
    <t>Comunicaciones</t>
  </si>
  <si>
    <t>Honorarios</t>
  </si>
  <si>
    <t>Públicidad y propaganda</t>
  </si>
  <si>
    <t>Seguros</t>
  </si>
  <si>
    <t>Alquileres</t>
  </si>
  <si>
    <t>Impuestos, derechos y tasas</t>
  </si>
  <si>
    <t>Viáticos, pasajes y movilidad</t>
  </si>
  <si>
    <t>Cortesía, homenaje y protocolo</t>
  </si>
  <si>
    <t>Gastos judiciales</t>
  </si>
  <si>
    <t>Multas e indemnizaciones</t>
  </si>
  <si>
    <t>Conserv inmuebles e instalaciones</t>
  </si>
  <si>
    <t>Conserv rodados y maquinarias</t>
  </si>
  <si>
    <t>Conserv de muebles, maquinarias  y otros bs capital</t>
  </si>
  <si>
    <t>Limpieza y desinfección</t>
  </si>
  <si>
    <t>Gastos de imprenta y repoducción</t>
  </si>
  <si>
    <t>Servicios públicos ejecutados por terceros</t>
  </si>
  <si>
    <t>Gastos bancarios</t>
  </si>
  <si>
    <t>Festivales, exposiciones y concursos</t>
  </si>
  <si>
    <t xml:space="preserve">Otros Servicios </t>
  </si>
  <si>
    <t>Locaciones de servicios</t>
  </si>
  <si>
    <t>20</t>
  </si>
  <si>
    <t>27</t>
  </si>
  <si>
    <t>BIENES DE CAPITAL</t>
  </si>
  <si>
    <t>5.1.1.</t>
  </si>
  <si>
    <t>Maquinarias y equipos</t>
  </si>
  <si>
    <t>Herramientas y útiles de trabajo</t>
  </si>
  <si>
    <t>Medios de transporte</t>
  </si>
  <si>
    <t>Aparatos e instrumentos</t>
  </si>
  <si>
    <t>Equipos y útiles educacionales y recreativos</t>
  </si>
  <si>
    <t>Elementos de seguridad</t>
  </si>
  <si>
    <t>Colecciónes y elementos de bibliotecas y museos</t>
  </si>
  <si>
    <t>Moblajes</t>
  </si>
  <si>
    <t>Maq equipos de oficina y equipos p/computación</t>
  </si>
  <si>
    <t>Instalaciones</t>
  </si>
  <si>
    <t>Bienes de capital en general</t>
  </si>
  <si>
    <t>30</t>
  </si>
  <si>
    <t>4.2.1.</t>
  </si>
  <si>
    <t>Intereses y Gastos de la Deuda</t>
  </si>
  <si>
    <t xml:space="preserve">  Intereses y gastos de la deuda</t>
  </si>
  <si>
    <t>4.2.</t>
  </si>
  <si>
    <t>4.3.</t>
  </si>
  <si>
    <t>4.3.1.</t>
  </si>
  <si>
    <t>Transferencias Corrientes</t>
  </si>
  <si>
    <t xml:space="preserve">  Transferencias corrientes</t>
  </si>
  <si>
    <t>5.2.</t>
  </si>
  <si>
    <t>Inversión Financiera</t>
  </si>
  <si>
    <t xml:space="preserve">  Inversión financiera</t>
  </si>
  <si>
    <t>5.2.1</t>
  </si>
  <si>
    <t>OTROS RUBROS</t>
  </si>
  <si>
    <t>5.3.</t>
  </si>
  <si>
    <t>Inversión Bienes Preexistentes</t>
  </si>
  <si>
    <t>5.3.1</t>
  </si>
  <si>
    <t xml:space="preserve">  Bienes preexistentes</t>
  </si>
  <si>
    <t>6.1.</t>
  </si>
  <si>
    <t>Amortización de la Deuda</t>
  </si>
  <si>
    <t>6.1.1.</t>
  </si>
  <si>
    <t>6.1.2.</t>
  </si>
  <si>
    <t xml:space="preserve">  Deuda consolidada</t>
  </si>
  <si>
    <t xml:space="preserve">  Deuda flotante</t>
  </si>
  <si>
    <t>5.1.2.</t>
  </si>
  <si>
    <t>Trabajos Públicos</t>
  </si>
  <si>
    <t xml:space="preserve">  Trabajos públicos</t>
  </si>
  <si>
    <t>SEC PRIVADA</t>
  </si>
  <si>
    <t>APOD MUNIC.</t>
  </si>
  <si>
    <t>COM SOCIAL</t>
  </si>
  <si>
    <t>DEPARTAMENTO EJECUTIVO - INTENDENCIA</t>
  </si>
  <si>
    <t>TOTAL EROGACIONES E INVERSIONES</t>
  </si>
  <si>
    <t>SECRETARÍA</t>
  </si>
  <si>
    <t>CATASTRO</t>
  </si>
  <si>
    <t>RENTAS</t>
  </si>
  <si>
    <t>SISTEMA</t>
  </si>
  <si>
    <t>COORD FINAN.</t>
  </si>
  <si>
    <t>TESOR GRAL.</t>
  </si>
  <si>
    <t>CONT GRAL.</t>
  </si>
  <si>
    <t>O.MUNICIP</t>
  </si>
  <si>
    <t>O.CIVILES</t>
  </si>
  <si>
    <t>O.VIALES</t>
  </si>
  <si>
    <t>ELECTRICIDAD</t>
  </si>
  <si>
    <t>MANTENIM</t>
  </si>
  <si>
    <t>PLAN. URBANA</t>
  </si>
  <si>
    <t>DEPARTAMENTO EJECUTIVO  - SECRETARIA DE HACIENDA</t>
  </si>
  <si>
    <t>S. PÚBLICOS</t>
  </si>
  <si>
    <t>O.PRIVADAS</t>
  </si>
  <si>
    <t>H.URBANA</t>
  </si>
  <si>
    <t>VIVIENDA</t>
  </si>
  <si>
    <t>MED. AMBIENTE</t>
  </si>
  <si>
    <t>CEMENTERIO</t>
  </si>
  <si>
    <t>FORESTACIÓN</t>
  </si>
  <si>
    <t>TALLERES</t>
  </si>
  <si>
    <t>O.PARTICUL.</t>
  </si>
  <si>
    <t>HIG. URBANA</t>
  </si>
  <si>
    <t>RECOLECCIÓN</t>
  </si>
  <si>
    <t>M. AMBIENTE</t>
  </si>
  <si>
    <t>TOTAL EROGACIONES (b+c+d)</t>
  </si>
  <si>
    <t>C. TRÁNSITO</t>
  </si>
  <si>
    <t>PERMANENTE</t>
  </si>
  <si>
    <t>TEMPORARIO</t>
  </si>
  <si>
    <t xml:space="preserve">PERSONAL </t>
  </si>
  <si>
    <t>C.TRÁNSITO</t>
  </si>
  <si>
    <t>DEPARTAMENTO EJECUTIVO  - SERVICIOS ESPECIALES</t>
  </si>
  <si>
    <t>HONORABLE CONCEJO DELIBERANTE  - FUEROS ADMINISTRATIVOS DE TRÁNSITO</t>
  </si>
  <si>
    <t>H.C.D.</t>
  </si>
  <si>
    <t>CLASIFICACIÓN POR FINALIDAD Y FUNCIÓN</t>
  </si>
  <si>
    <t>Código</t>
  </si>
  <si>
    <t>ADMINISTRACIÓN GENERAL</t>
  </si>
  <si>
    <t>TOTAL FUNCIÓN</t>
  </si>
  <si>
    <t>TOTAL FINALIDAD</t>
  </si>
  <si>
    <t>1</t>
  </si>
  <si>
    <t>Administración Fiscal</t>
  </si>
  <si>
    <t>Secretaría de Hacienda</t>
  </si>
  <si>
    <t>Catastro</t>
  </si>
  <si>
    <t>Rentas</t>
  </si>
  <si>
    <t>Tesorería General</t>
  </si>
  <si>
    <t>Contaduría General</t>
  </si>
  <si>
    <t>Sistema</t>
  </si>
  <si>
    <t>Control Fiscal</t>
  </si>
  <si>
    <t>Legislación</t>
  </si>
  <si>
    <t>Presidencia y Secretarias del HCD</t>
  </si>
  <si>
    <t>Bloques del HCD</t>
  </si>
  <si>
    <t>40</t>
  </si>
  <si>
    <t>Justicia</t>
  </si>
  <si>
    <t>Coordinación y Financiamiento Munic.</t>
  </si>
  <si>
    <t>Juzgados de Tránsito</t>
  </si>
  <si>
    <t>60</t>
  </si>
  <si>
    <t>Culto</t>
  </si>
  <si>
    <t>70</t>
  </si>
  <si>
    <t>Apoyo a gobiernos locales</t>
  </si>
  <si>
    <t>90</t>
  </si>
  <si>
    <t>Administración general sin descriminar</t>
  </si>
  <si>
    <t>Intendente</t>
  </si>
  <si>
    <t>Secretaría Privada</t>
  </si>
  <si>
    <t>Asuntos Jurídicos</t>
  </si>
  <si>
    <t>Apoderado Municipal</t>
  </si>
  <si>
    <t>Secretario de Gobierno</t>
  </si>
  <si>
    <t>Relaciones con la Comunidad</t>
  </si>
  <si>
    <t xml:space="preserve">Administración </t>
  </si>
  <si>
    <t>3</t>
  </si>
  <si>
    <t>SEGURIDAD</t>
  </si>
  <si>
    <t>Policía Interior</t>
  </si>
  <si>
    <t>Seguridad sin descriminar</t>
  </si>
  <si>
    <t>Control de Tránsito</t>
  </si>
  <si>
    <t>4</t>
  </si>
  <si>
    <t>Atención Médica</t>
  </si>
  <si>
    <t>Dirección de Salud</t>
  </si>
  <si>
    <t>Saneamiento ambiental</t>
  </si>
  <si>
    <t>Inspección General y Fiscalización</t>
  </si>
  <si>
    <t>Dirección de Higiene Urbana</t>
  </si>
  <si>
    <t>Dirección de Medio Ambiente</t>
  </si>
  <si>
    <t>Salud sin descriminar</t>
  </si>
  <si>
    <t>5</t>
  </si>
  <si>
    <t>CULTURA Y EDUCACIÓN</t>
  </si>
  <si>
    <t>Cultura, Patrimonio y Turismo</t>
  </si>
  <si>
    <t>Cultura</t>
  </si>
  <si>
    <t>Educación media y técnica</t>
  </si>
  <si>
    <t>Transporte</t>
  </si>
  <si>
    <t>Dirección de Educación</t>
  </si>
  <si>
    <t>Educación elemental</t>
  </si>
  <si>
    <t>Cultura y eduación sin discriminar</t>
  </si>
  <si>
    <t>6</t>
  </si>
  <si>
    <t>DESARROLLO DE LA ECONOMÍA</t>
  </si>
  <si>
    <t>Suelo, riego, desagüe y drenaje</t>
  </si>
  <si>
    <t>Agricultura,ganadería y recursos naturales renovables</t>
  </si>
  <si>
    <t>Energía y combustibles</t>
  </si>
  <si>
    <t>Canteras y minas</t>
  </si>
  <si>
    <t>Industria</t>
  </si>
  <si>
    <t>35</t>
  </si>
  <si>
    <t>Turismo</t>
  </si>
  <si>
    <t>45</t>
  </si>
  <si>
    <t>Infraestructura vial</t>
  </si>
  <si>
    <t>Obras Viales</t>
  </si>
  <si>
    <t>50</t>
  </si>
  <si>
    <t>Comercio y almacenaje</t>
  </si>
  <si>
    <t>Seguros y Finanzas</t>
  </si>
  <si>
    <t>Desarrollo de la economía sin discriminar</t>
  </si>
  <si>
    <t>Dirección de Promoción Económica</t>
  </si>
  <si>
    <t>7</t>
  </si>
  <si>
    <t>BIENESTAR SOCIAL</t>
  </si>
  <si>
    <t>Seguridad Social</t>
  </si>
  <si>
    <t>Vivienda</t>
  </si>
  <si>
    <t>Dirección de Vivienda</t>
  </si>
  <si>
    <t>Asistencia y promoción social</t>
  </si>
  <si>
    <t>Desarrollo Social</t>
  </si>
  <si>
    <t>Deporte y recreación</t>
  </si>
  <si>
    <t>Dirección de Deporte</t>
  </si>
  <si>
    <t>Bienestar social sin discriminar</t>
  </si>
  <si>
    <t>8</t>
  </si>
  <si>
    <t>DEUDA PÚBLICA</t>
  </si>
  <si>
    <t>Deuda Pública</t>
  </si>
  <si>
    <t>9</t>
  </si>
  <si>
    <t>GASTOS A CLASIFICAL</t>
  </si>
  <si>
    <t>A clasificar por distribución</t>
  </si>
  <si>
    <t>Secretaría de Ambiente, Obras y Servicios Públicos</t>
  </si>
  <si>
    <t>Dirección de O. Municipales</t>
  </si>
  <si>
    <t>Obras Civiles</t>
  </si>
  <si>
    <t>Electricidad</t>
  </si>
  <si>
    <t>Dirección de Planificación Urbana</t>
  </si>
  <si>
    <t>Dirección de Servicios Públicos</t>
  </si>
  <si>
    <t>Dirección de O. Privadas</t>
  </si>
  <si>
    <t>TOTAL FUNCIÓN TOTAL</t>
  </si>
  <si>
    <t>PERSONAL</t>
  </si>
  <si>
    <t>BIENES CONSUMO</t>
  </si>
  <si>
    <t>INTERESES Y GTOS DE DEUDA</t>
  </si>
  <si>
    <t>TRANSF. CORRIENTES</t>
  </si>
  <si>
    <t>BIENES CAPITAL</t>
  </si>
  <si>
    <t>TRAB. PÚBLICOS</t>
  </si>
  <si>
    <t>INVERSIÓN FINANCIERA</t>
  </si>
  <si>
    <t>INVERSIÓN EN BS PREEXISTENTES</t>
  </si>
  <si>
    <t xml:space="preserve">AMORT. DE LA DEUDA </t>
  </si>
  <si>
    <t>Comunicación Social</t>
  </si>
  <si>
    <t>TRANSPORTE</t>
  </si>
  <si>
    <t>PROM.ECON</t>
  </si>
  <si>
    <t>Obras de pavimentación ctes</t>
  </si>
  <si>
    <t>Mantenimiento y Producción</t>
  </si>
  <si>
    <t>DEPARTAMENTO EJECUTIVO</t>
  </si>
  <si>
    <t>HONORABLE CONCEJO DELIBERANTE</t>
  </si>
  <si>
    <t>SECRETARIOS DEL DPTO.EJECUTIVO</t>
  </si>
  <si>
    <t xml:space="preserve">DIRECTOR NIVEL "A" </t>
  </si>
  <si>
    <t xml:space="preserve">DIRECTOR NIVEL "B" </t>
  </si>
  <si>
    <t xml:space="preserve">DIRECTOR NIVEL "C" </t>
  </si>
  <si>
    <t xml:space="preserve">DIRECTOR NIVEL "D" </t>
  </si>
  <si>
    <t xml:space="preserve">DIRECTOR NIVEL "E" </t>
  </si>
  <si>
    <t>PRESIDENTE DEL H.C.D.</t>
  </si>
  <si>
    <t>CONCEJALES</t>
  </si>
  <si>
    <t>SECRETARIO DEL CUERPO</t>
  </si>
  <si>
    <t>FUEROS ADMINISTRATIVOS DE TRANSITO</t>
  </si>
  <si>
    <t>DEPARTAMENTO EJECUTIVO-HONORABLE CONCEJO DELIBERANTE-FUERO ADMINISTRATIVO DE TRANSITO</t>
  </si>
  <si>
    <t>CONCEPTO</t>
  </si>
  <si>
    <t>CONCEPTOS</t>
  </si>
  <si>
    <t xml:space="preserve">   Régimen de Participación Provincial</t>
  </si>
  <si>
    <t xml:space="preserve">Personal </t>
  </si>
  <si>
    <t xml:space="preserve">   Otros Ingresos de Jurisdicción Provincial</t>
  </si>
  <si>
    <t>Bienes de Consumos</t>
  </si>
  <si>
    <t>Servicios</t>
  </si>
  <si>
    <t xml:space="preserve">   Régimen de Coparticipación Nacional</t>
  </si>
  <si>
    <t xml:space="preserve">   Regalias</t>
  </si>
  <si>
    <t xml:space="preserve">Transferencias Corrientes </t>
  </si>
  <si>
    <t xml:space="preserve">   Otros Ingresos de Jurisdicción Nacional</t>
  </si>
  <si>
    <t>De Jurisdicción Municipal</t>
  </si>
  <si>
    <t xml:space="preserve">   Tasas y Derechos Municipales</t>
  </si>
  <si>
    <t xml:space="preserve">   Otros Ingresos de Origen Municipal</t>
  </si>
  <si>
    <t>Bienes de Capital</t>
  </si>
  <si>
    <t>Trabajos Públicos (1)</t>
  </si>
  <si>
    <t>Inversión Financiera (1)</t>
  </si>
  <si>
    <t>Bienes Preexistentes</t>
  </si>
  <si>
    <t xml:space="preserve">   Ventas Bienes de Uso</t>
  </si>
  <si>
    <t xml:space="preserve">   Reembolso de Obras Públicas</t>
  </si>
  <si>
    <t xml:space="preserve">   Reembolsos de Préstamos</t>
  </si>
  <si>
    <t xml:space="preserve">   Otros Recursos de Capital</t>
  </si>
  <si>
    <t xml:space="preserve">   Transf. Fdos.para Inv. Obra Pública</t>
  </si>
  <si>
    <t xml:space="preserve">   Uso del Crédito</t>
  </si>
  <si>
    <t xml:space="preserve">   Aportes No Reintegrables</t>
  </si>
  <si>
    <t xml:space="preserve">   Aportes Reintegrables</t>
  </si>
  <si>
    <t xml:space="preserve">   Remanentes de Ejercicios Anteriores</t>
  </si>
  <si>
    <t>Total de Recursos y Financiamiento</t>
  </si>
  <si>
    <t xml:space="preserve">   Adelantos a Proveedores y Contratistas</t>
  </si>
  <si>
    <t>Total de Erogaciones</t>
  </si>
  <si>
    <t>TOTAL RECURSOS Y FINANCIAMIENTO</t>
  </si>
  <si>
    <t>Diferencia</t>
  </si>
  <si>
    <t>macrofiscal de la Nación en cumplimiento con lo establecido por el artículo 10º de la Ley Nacional Nº 25917 adherida por artículo 1º ley provincial Nº7314. Sin embargo deben recordarse que para las autorizaciones de endeudamiento tanto</t>
  </si>
  <si>
    <t>Análisis del Gasto Primario</t>
  </si>
  <si>
    <t xml:space="preserve">(1) Contiene gastos de capital destinados a infraestructura social básica necesarios para el desarrollo económico - Ley 25917 - Capitulo II - Gasto Público - Art. 10º,  detallado en Anexo B  - </t>
  </si>
  <si>
    <t>ANÁLISIS DEL GASTO PRIMARIO (art. 10º- Ley 25917)</t>
  </si>
  <si>
    <t>Detalle</t>
  </si>
  <si>
    <t xml:space="preserve">Presupuesto </t>
  </si>
  <si>
    <t xml:space="preserve">Proyecto </t>
  </si>
  <si>
    <t>Tasa Nominal</t>
  </si>
  <si>
    <t>Presupuesto</t>
  </si>
  <si>
    <t>del Gasto Público</t>
  </si>
  <si>
    <t>Primario</t>
  </si>
  <si>
    <t>Total de Erogaciones Corrientes</t>
  </si>
  <si>
    <t>Menos: Intereses de la Deuda</t>
  </si>
  <si>
    <t>Total de Erogaciones de Capital</t>
  </si>
  <si>
    <t xml:space="preserve">Sub Total </t>
  </si>
  <si>
    <t xml:space="preserve">   Inversión Financieras</t>
  </si>
  <si>
    <t>Promoción Económica - Fondos desarrollo redes</t>
  </si>
  <si>
    <t>y programa municipal de microcrédito</t>
  </si>
  <si>
    <t xml:space="preserve">Dirección de Vivienda- Créditos para el programa </t>
  </si>
  <si>
    <t>municipal de financiación de viviendas</t>
  </si>
  <si>
    <t>TOTAL DE GASTO PRIMARIO AFECTADO</t>
  </si>
  <si>
    <t>Indicadores agregados fiscales y financieros.</t>
  </si>
  <si>
    <t>N°</t>
  </si>
  <si>
    <t>Definición del Indicador</t>
  </si>
  <si>
    <t>Observación</t>
  </si>
  <si>
    <t>Numerador</t>
  </si>
  <si>
    <t>Denominador</t>
  </si>
  <si>
    <t xml:space="preserve"> Gasto primario por habitante</t>
  </si>
  <si>
    <t>Gasto Primario: suma de gastos corrientes y de capital, excluidos los pagos por intereses de deuda pública presupuestado</t>
  </si>
  <si>
    <t>Población de Godoy Cruz</t>
  </si>
  <si>
    <t>Gasto en personal respecto del gasto primario</t>
  </si>
  <si>
    <t>Gasto en personal presupuestado</t>
  </si>
  <si>
    <t xml:space="preserve"> Participación del gasto en inversión real directa respecto del gasto primario</t>
  </si>
  <si>
    <t>Gasto en inversión real directa (bienes de capital, preexistentes y trabajos públicos) presupuestado</t>
  </si>
  <si>
    <t xml:space="preserve"> Ingresos tributarios presupuestados por habitante</t>
  </si>
  <si>
    <t>Ingresos de jurisdicción municipal (por tasas y derechos) presupuestados</t>
  </si>
  <si>
    <t xml:space="preserve"> Ingresos tributarios municipales respecto a Ingresos corrientes totales</t>
  </si>
  <si>
    <t>Ingresos corrientes presupuestados</t>
  </si>
  <si>
    <t xml:space="preserve"> Indicador Solvencia: gastos corrientes respecto a los ingresos corrientes</t>
  </si>
  <si>
    <t>Gastos corrientes presupuestados</t>
  </si>
  <si>
    <t>Gasto en personal respecto a recursos corrientes</t>
  </si>
  <si>
    <t>Servicios de deuda (amort. + interes) respecto de los ingresos corrientes</t>
  </si>
  <si>
    <t>Servicios de la deuda consolidada: amortizaciones + intereses presupuestados</t>
  </si>
  <si>
    <t>Población de Godoy Cruz 2010 (Fuente: DEIE- Indec último censo poblacional)</t>
  </si>
  <si>
    <t>SUBTOTAL</t>
  </si>
  <si>
    <t>CONSOLIDADO DEPARTAMENTO EJECUTIVO-HONORABLE CONCEJO DELIBERANTE-FUERO ADMINISTRATIVO DE TRANSITO</t>
  </si>
  <si>
    <t xml:space="preserve">   Personal</t>
  </si>
  <si>
    <t xml:space="preserve">   Bienes de Consumo</t>
  </si>
  <si>
    <t xml:space="preserve">   Servicios</t>
  </si>
  <si>
    <t>Intereses y Gtos de la Deuda</t>
  </si>
  <si>
    <t xml:space="preserve">     Bienes Preexistentes</t>
  </si>
  <si>
    <t xml:space="preserve">     Inversión Financiera</t>
  </si>
  <si>
    <t xml:space="preserve">          Uso del Crédito de Entidades Financieras</t>
  </si>
  <si>
    <t xml:space="preserve">          Uso del Crédito del Gobierno Provincial</t>
  </si>
  <si>
    <t xml:space="preserve">          Uso del Crédito de Proveed.y Cont.(Deuda Flotante)</t>
  </si>
  <si>
    <t xml:space="preserve">         Aportes No Reintegrables varios</t>
  </si>
  <si>
    <t xml:space="preserve">     Amortizacion de la Deuda Consolidada</t>
  </si>
  <si>
    <t xml:space="preserve">     Amortizacion de la Deuda Flotante</t>
  </si>
  <si>
    <t>Total de Erogaciones (ctes + capital + amortizac)</t>
  </si>
  <si>
    <t>Resultado Final</t>
  </si>
  <si>
    <t>Conceptos</t>
  </si>
  <si>
    <t>eficiencia en la recaudación Provincia-Nación</t>
  </si>
  <si>
    <t>crecimiento economía</t>
  </si>
  <si>
    <t>variación nominal</t>
  </si>
  <si>
    <t>dólar promedio anual</t>
  </si>
  <si>
    <t>eficiencia en la recaudación Municipio</t>
  </si>
  <si>
    <t>rec. municipal sujeta a aumento</t>
  </si>
  <si>
    <t xml:space="preserve">Nota: El tipo de cambio, tasa de crecimiento de la economía y tasa de inflación fueron </t>
  </si>
  <si>
    <t xml:space="preserve">obtenidas del marco macrofical nacional correspondiente al Mensaje de Elevación del </t>
  </si>
  <si>
    <t>ANEXO Gasto o costo tributario estimado por eximiciones autorizadas por Ordenanzas</t>
  </si>
  <si>
    <t>Concepto</t>
  </si>
  <si>
    <t>Monto</t>
  </si>
  <si>
    <t>Eximiciones de jubilados, pensionados y carenciados</t>
  </si>
  <si>
    <t>Ordenanzas varias eximiciones (discapacitados, etc.)</t>
  </si>
  <si>
    <t>Eximiciones entidades sin fines de lucro (art. 30 y 31 Cód. Trib)</t>
  </si>
  <si>
    <t>Condonación deuda clubes deportivos (deuda retroactiva)</t>
  </si>
  <si>
    <t>Total</t>
  </si>
  <si>
    <t>Proyecto  2015</t>
  </si>
  <si>
    <t>ANEXO Destino de los Subsidios a otorgar (Ayuda Social Directa con fondos municipales)</t>
  </si>
  <si>
    <t>Repartición / Concepto</t>
  </si>
  <si>
    <t xml:space="preserve">I. INTENDENCIA </t>
  </si>
  <si>
    <t>II. SECRETARÍA DE GOBIERNO</t>
  </si>
  <si>
    <t xml:space="preserve">   Ayudas puntuales según demandas de vecinos y/o instituciones dedicadas al bien público, al deporte, al desarrollo económico y social, etc.</t>
  </si>
  <si>
    <t xml:space="preserve">III. DESARROLLO SOCIAL </t>
  </si>
  <si>
    <t xml:space="preserve">    Atender demanda social espontánea producto de emergencia social, climática, etc.</t>
  </si>
  <si>
    <t>IV. VIVIENDA</t>
  </si>
  <si>
    <t xml:space="preserve">   Ayuda a familias NBI residentes en asentamiento precarios, según demanda espontánea.   Subsidios de ayuda económica o por desarraigo a familias</t>
  </si>
  <si>
    <t>V. DIRECCIÓN DE OBRAS MUNICIPALES</t>
  </si>
  <si>
    <t xml:space="preserve">   Ayuda social para finanaciar erogaciones de capital según la demanda de ONG, Entidades   Religiosas, Educacionales y Comunitarias</t>
  </si>
  <si>
    <t xml:space="preserve">   Ayuda social para día del niño y/o ayuda a la comunidad en gral.</t>
  </si>
  <si>
    <t>TOTAL GENERAL AYUDA SOCIAL DIRECTA CON FONDOS MUNICIPALES</t>
  </si>
  <si>
    <t xml:space="preserve">Menos: Gastos de Capital destinados a infraestructura social básica </t>
  </si>
  <si>
    <t>Canón Extraordinacio Producción Hidrocarburos</t>
  </si>
  <si>
    <t>necesaria para el desarrollo económico social</t>
  </si>
  <si>
    <t xml:space="preserve">Vigente </t>
  </si>
  <si>
    <t>VI. DIRECCIÓN DE MEDIO AMBIENTE</t>
  </si>
  <si>
    <t xml:space="preserve">   Ayuda social para finanaciar programas de saniamiento ambiental</t>
  </si>
  <si>
    <t>VII. HONORABLE CONCEJO DELIBERANTE</t>
  </si>
  <si>
    <t xml:space="preserve">y Organizaciones Sociales manifestaron sus propuestas sobre sus necesidades a fin de ser tratadas en el Presupuesto </t>
  </si>
  <si>
    <t xml:space="preserve">Zona Oeste (Villa del Parque, Villa Marini y Trapiche Oeste), Zona Centro (Villa Hipodromo, Villa Marini Este, </t>
  </si>
  <si>
    <t>Trapiche Este, Zona Centro, Benegas) y Zona Este (Las Tortugas, San Fco del Monte). Las propuestas receptadas por el</t>
  </si>
  <si>
    <t>Departamento Ejecutivo fueron evaluadas en un marco de equilibrio entre la priorización de las obras requeridas por los</t>
  </si>
  <si>
    <t>ZONA</t>
  </si>
  <si>
    <t>OBRA</t>
  </si>
  <si>
    <t>PART. PRES</t>
  </si>
  <si>
    <t>MONTO</t>
  </si>
  <si>
    <t>ZONA OESTE</t>
  </si>
  <si>
    <t>OBRAS MENORES</t>
  </si>
  <si>
    <t>ZONA CENTRO</t>
  </si>
  <si>
    <t>ZONA ESTE</t>
  </si>
  <si>
    <t>DIRECTOR GENERAL</t>
  </si>
  <si>
    <t>Amortización de la Deuda Consolidada</t>
  </si>
  <si>
    <t>Amortización de la Deuda Flotante</t>
  </si>
  <si>
    <t xml:space="preserve">vecinos, la disponibilidad de fondos para poder financiar las mismas y el crecimiento urbanístico y económico del </t>
  </si>
  <si>
    <t>variacion % IPC (dic a dic)</t>
  </si>
  <si>
    <t>DEPARTAMENTO EJECUTIVO  - SECRETARIA DE AMBIENTE, OBRAS Y SERVICIOS PÚBLICOS</t>
  </si>
  <si>
    <t>UNIDAD DE GESTIÓN</t>
  </si>
  <si>
    <t>UBICACIÓN</t>
  </si>
  <si>
    <t>POR ADMINISTRACIÓN</t>
  </si>
  <si>
    <t>POR CONTRATO</t>
  </si>
  <si>
    <t>5.1.02.01.00.00</t>
  </si>
  <si>
    <t>5.1.02.02.00.00</t>
  </si>
  <si>
    <t>DEPARTAMENTO DE OBRAS CIVILES</t>
  </si>
  <si>
    <t>OBRAS VARIAS</t>
  </si>
  <si>
    <t>SUB-TOTALES</t>
  </si>
  <si>
    <t>Pavimento Tipo sellado Slurry</t>
  </si>
  <si>
    <t xml:space="preserve">CARPETA ASFALTICA U HORMIGON </t>
  </si>
  <si>
    <t>OTRAS OBRAS</t>
  </si>
  <si>
    <t>TOTALES</t>
  </si>
  <si>
    <t>DEPARTAMENTO DE ELECTRICIDAD</t>
  </si>
  <si>
    <t xml:space="preserve"> departamento.</t>
  </si>
  <si>
    <t>Contrato de obra</t>
  </si>
  <si>
    <t>DEPARTAMENTO EJECUTIVO  - H.C.D. - JUZGADOS</t>
  </si>
  <si>
    <t>Año 2014</t>
  </si>
  <si>
    <t>Proyecto  2016</t>
  </si>
  <si>
    <t>Aporte Vecinal Obras Reembolsables</t>
  </si>
  <si>
    <t>ESPACIO VERDE PESCARMONA 2014</t>
  </si>
  <si>
    <t>PLAZA LOS GLACIARES</t>
  </si>
  <si>
    <t>BOULEVARD SAN VICENTE</t>
  </si>
  <si>
    <t>PLAZA LA PERLA</t>
  </si>
  <si>
    <t>PLAZA SAN CAYETANO  Bº Soeva</t>
  </si>
  <si>
    <t>PLAZA Bº TAC</t>
  </si>
  <si>
    <t>RAMPAS PEATONALES</t>
  </si>
  <si>
    <t xml:space="preserve">BARRIO TUPAC AMARU B.C.C.,CLOACA, AGUA </t>
  </si>
  <si>
    <t xml:space="preserve">    Uso del Crédito de Proveed y Contratistas</t>
  </si>
  <si>
    <t xml:space="preserve">   Ayudas puntuales según demandas de vecinos y/o instituciones dedicadas al bien público, al deporte, al desarrollo económico, foto   y carnet padrón de extranjeros, auspicios etc.</t>
  </si>
  <si>
    <t>ANEXO A</t>
  </si>
  <si>
    <t>COEFICIENTE PARA REMUNERACION DE LAS AUTORIDADES SUPERIORES</t>
  </si>
  <si>
    <t>Clase</t>
  </si>
  <si>
    <t>INTENDENTE MUNICIPAL (*)</t>
  </si>
  <si>
    <r>
      <t xml:space="preserve">JUECES (***) </t>
    </r>
    <r>
      <rPr>
        <sz val="9"/>
        <rFont val="Calibri"/>
        <family val="2"/>
        <scheme val="minor"/>
      </rPr>
      <t>de la Remuneración de los Sec del D.Ejec.</t>
    </r>
  </si>
  <si>
    <r>
      <t xml:space="preserve">SECRETARIOS </t>
    </r>
    <r>
      <rPr>
        <sz val="9"/>
        <rFont val="Calibri"/>
        <family val="2"/>
        <scheme val="minor"/>
      </rPr>
      <t>de la Remuneración de los Jueces</t>
    </r>
  </si>
  <si>
    <r>
      <t xml:space="preserve">PROSECRETARIOS </t>
    </r>
    <r>
      <rPr>
        <sz val="9"/>
        <rFont val="Calibri"/>
        <family val="2"/>
        <scheme val="minor"/>
      </rPr>
      <t>de la Remuneración de los Jueces</t>
    </r>
  </si>
  <si>
    <t>(**) El 65% de la remuneración resultante corresponde a la Asignación de la Clase o Dieta según corresponda</t>
  </si>
  <si>
    <t>(***) Conforme a la Ordenanza Nº 5097/04</t>
  </si>
  <si>
    <t>OBRAS VIALES</t>
  </si>
  <si>
    <t>En las convocatorias distritales realizadas este año las Uniones Vecinales</t>
  </si>
  <si>
    <t>MEJORA PLAZA PADRE RASQUIN</t>
  </si>
  <si>
    <t>ADMINISTRACION</t>
  </si>
  <si>
    <t>RAMPAS PARA PEATONES</t>
  </si>
  <si>
    <t>BARRIO GRAFICO PLAYON DEPORTIVO</t>
  </si>
  <si>
    <t>SEMAFORIZACION</t>
  </si>
  <si>
    <t>PRESUPUESTO AÑO 2015</t>
  </si>
  <si>
    <t xml:space="preserve">    Deuda Flotante Estimada Ejercicio 2014</t>
  </si>
  <si>
    <t>(*) Calculado conforme a Art. 18° Ordenanza Presupuesto 2015</t>
  </si>
  <si>
    <t>DETALLE DE INVERSIÓN EN TRABAJOS PÚBLICOS - AÑO 2.015</t>
  </si>
  <si>
    <t>PROYECTO DE PRESUPUESTO 2015 - PLAN DE OBRAS MUNICIPALES</t>
  </si>
  <si>
    <t>OBRAS EN EJECUCIÓN A AFECTAR EN EL PPTO. 2015</t>
  </si>
  <si>
    <t>Año 2015</t>
  </si>
  <si>
    <t>Proyecto 2015/Vigente 2014 (% de variación)</t>
  </si>
  <si>
    <t xml:space="preserve">   Trabajos Públicos - Plan de Obras 2014 / 2015</t>
  </si>
  <si>
    <t>Según Anexo de Obras Civiles, Viales y Eléctricas 2015</t>
  </si>
  <si>
    <t>Tasa Nominal de Incremento del Producto Bruto Interno estimada para 2015</t>
  </si>
  <si>
    <t>Presupuesto Nacional 2015</t>
  </si>
  <si>
    <t>Indicadores - Presupuesto 2015</t>
  </si>
  <si>
    <t>Indicador proyecto de presupuesto 2015</t>
  </si>
  <si>
    <t>Variables necesarias para el cálculo estimadas en el Presupuesto 2015</t>
  </si>
  <si>
    <t>CUADRO RESUMEN DE RECURSOS, FINANCIAMIENTO Y EROGACIONES - PROYECCIONES 2015/2016/2017</t>
  </si>
  <si>
    <t>Proyecto  2017</t>
  </si>
  <si>
    <t>PRESUPUESTO PARTICIPATIVO 2015</t>
  </si>
  <si>
    <t xml:space="preserve">La audiencia preliminar tuvo como resultado el acta de conclusiones de obras a realizar en el año 2015. De las obras </t>
  </si>
  <si>
    <t>TURISMO</t>
  </si>
  <si>
    <t>DEPARTAMENTO EJECUTIVO  - CONTROL DE TRÁNSITO - TURISMO</t>
  </si>
  <si>
    <t>CONTROL TRÁNSITO</t>
  </si>
  <si>
    <t>REL. COMUN</t>
  </si>
  <si>
    <t>Referencia: Tasa de variación permitida para el proyecto de presupuesto 2015 respecto al crédito vigente al momento de presentar el presupuesto es del 19,7%. La tasa de referencia es la establecida por el marco</t>
  </si>
  <si>
    <t>primario y establecen la obligatoriedad de ejecutar los presupuestos preservando el equilibrio financiero- a aquellos gastos que se destinen a promover la actividad económica, a sostener el nivel de empleo y dar cobertura a la emergencia sanitaria y a la asistencia social. Con relación al artículo 2º, se dejan sin efecto las limitaciones contenidas en el artículo 12 y en el primer párrafo del artículo 21 de la Ley 25.917,</t>
  </si>
  <si>
    <t>nivel de empleo y dar cobertura a la emergencia sanitaria y a la asistencia social. Con relación al artículo 2º, se dejan sin efecto las limitaciones contenidas en el artículo 12 y en el primer párrafo del artículo 21 de la Ley 25.917,</t>
  </si>
  <si>
    <t>del artículo 21 de la Ley 25.917,</t>
  </si>
  <si>
    <t xml:space="preserve">   Regalías</t>
  </si>
  <si>
    <t>el Gobierno Nacional como Provincial en cumplimiento de la Ley 25,917, una vez cerrado el ejercicio 2014, evaluar la tasa de crecimiento del gasto sobre el devengado 2014 y no sobre el vigente.</t>
  </si>
  <si>
    <t>Art. 52 del Proyecto de Ley  del Presupuesto Nacional establece:</t>
  </si>
  <si>
    <t>Comisión Administrativa Retenciones Sueldos</t>
  </si>
  <si>
    <t>Manten. Instalac y Equipam para Polideportivos Municip.</t>
  </si>
  <si>
    <t>De Convenios Municipales</t>
  </si>
  <si>
    <t>Municipalidad de la Capital de Mendoza</t>
  </si>
  <si>
    <t>Multas por Estacionamiento Medido</t>
  </si>
  <si>
    <t>BARRIO MONTEBALBANO Y VILLA TERESA</t>
  </si>
  <si>
    <t>BARRIO UDILEM</t>
  </si>
  <si>
    <t>BARRIO SAN ISIDRO</t>
  </si>
  <si>
    <t>BARRIO TAC</t>
  </si>
  <si>
    <t>BARRIO AMAN</t>
  </si>
  <si>
    <t>DISTRIBUCION DEL SISTEMA DE RIEGO - ARBOLADO PÚBLICO</t>
  </si>
  <si>
    <t>ERRADICACIÓN DE FORESTALES, ARREGLOS DE CUNETAS, LOSAS , CONTRAPISOS  Y NUEVOS FORRESTALES</t>
  </si>
  <si>
    <t>PLAZA RAZQUIN</t>
  </si>
  <si>
    <t>CIERRES Y VEREDAS</t>
  </si>
  <si>
    <t>OBRAS MENORES 2015 (MUROS DE CUNETAS, ALCANTARILLAS, BOCAS TORMENTA, ETC)</t>
  </si>
  <si>
    <t>CONSTRUCCION JARDIN EL MONITO</t>
  </si>
  <si>
    <t>AMPLIACION CENTRO DE SALUD Bº FOECYT Y REFACCION FUCHS</t>
  </si>
  <si>
    <t>PLAZA LA AMISTAD</t>
  </si>
  <si>
    <t>PLAZA FILIBERTO SIMIONATO</t>
  </si>
  <si>
    <t>MEJORAS ALUMBRADO Y OBRAS COMPLEMENTARIAS CERVANTES-JV GONZALEZ-PPSEGURA</t>
  </si>
  <si>
    <t>PLAZA DEPARTAMENTAL GODOY CRUZ</t>
  </si>
  <si>
    <t>RECUPERACION PARQUE SAN VICENTE (816/S/2014)</t>
  </si>
  <si>
    <t>SUM POLIDEPORTIVO EL CARDENAL (1356/S/2014)</t>
  </si>
  <si>
    <t>PLAZA JUAN DE DIOS VIDELA (1463/S/2014)</t>
  </si>
  <si>
    <t>PLAZA LIBERTAD (1799/S/2014)</t>
  </si>
  <si>
    <t>PLAZA LA ESTANZUELA</t>
  </si>
  <si>
    <t>REPARACION POLIDEPORTIVOS (SUM) LLAVER-MUMERCOP-RUISEÑOR-CIO-BIRITOS</t>
  </si>
  <si>
    <t>CIERRE POLIDEPORTIVOS (TIPO TUBING) LLAVER-CECON (2068/S/14)</t>
  </si>
  <si>
    <t>RED DE CLOACAS (CONVENIO AYSAM)</t>
  </si>
  <si>
    <t>PLAZA Bº PARQUE</t>
  </si>
  <si>
    <t>ESTACION GOBERNADOR BENEGAS (701/S/2014)</t>
  </si>
  <si>
    <t>VEREDAS Y DEMOLICIONES (921/S/2014</t>
  </si>
  <si>
    <t>RAMPAS PEATONALES (1351/S/2014)</t>
  </si>
  <si>
    <t>REPAVIMENT, Y REFUNCIONAL. CALLE INDEPENDENCIA (e) SARMIENTO Y R.PEÑA</t>
  </si>
  <si>
    <t>CALLE CERVANTES -VEREDAS (e) CARRODILLA Y MORALES</t>
  </si>
  <si>
    <t>REPAVIMENT, Y REFUNCIONAL. CALLE PASO DE LOS ANDES</t>
  </si>
  <si>
    <t>REPAVIMENT, Y REFUNCIONAL. AVDA PANAMERICANA (VEREDAS)</t>
  </si>
  <si>
    <t>POR ADMINISTRACION- OBRAS MENORES EN EL DPTO.</t>
  </si>
  <si>
    <t>SELLADO DE JUNTAS Y BACHES  2015</t>
  </si>
  <si>
    <t>OBRAS DE INFRAESTRUCTURA VIAL 2015</t>
  </si>
  <si>
    <t>BANQUINA, CORDON Y CUNETAS</t>
  </si>
  <si>
    <t>SELLADO DE JUNTAS Y BACHES  2014</t>
  </si>
  <si>
    <t>BACHEO 2014 - 2º ETAPA</t>
  </si>
  <si>
    <t>REFUNCIONAL. NUDO VIAL PROGRESO Y CERVANTES (1248/S/2014)</t>
  </si>
  <si>
    <t>SEMAFORIZACIÓN 2014 (909/S/2014)</t>
  </si>
  <si>
    <t>REPAVIM. DIVERSAS CALLES</t>
  </si>
  <si>
    <t>REPARACION LOSAS DE HORMIGON</t>
  </si>
  <si>
    <t>PUENTE VEHICULAR Y PEATONAL ENTRE CALLE PENNA Y HUARPES - CONVENIO CON CAPITAL</t>
  </si>
  <si>
    <t>OBRAS NUEVAS EN DIFERENTES Bº DEL DPTO ( Judicial, Gas, V. Parque, Monasterio, Sardi, Trapiche, Calise, V. Emilia, V. Clementina, Victoriano Montes, V. Edilco, V. Teresa, Carrodilla</t>
  </si>
  <si>
    <t>ILUMINACIÓN Bº LOS OLMOS, Bº MOSCONI, CALLE ILLIA, DIQUE LOS NIHUILES (1654/S/2014)</t>
  </si>
  <si>
    <t>REFACCION CRISTOFOLO COLOMBO</t>
  </si>
  <si>
    <t>"En lo que hace al Régimen Federal de Responsabilidad Fiscal, se prorrogan para el ejercicio 2015, y tal como se viene haciendo en los últimos años, las disposiciones contenidas en los artículos 1º y 2º de la Ley Nº 26.530." Por el primero, se excluyen de los artículos 10 y 19 del Régimen Federal de Responsabilidad Fiscal –que fijan un tope a la tasa nominal de incremento del gasto público primario y establecen la obligatoriedad de ejecutar los presupuestos preservando el equilibrio financiero- a aquellos gastos que se destinen a promover la actividad económica, a sostener el nivel de empleo y dar cobertura a la emergencia sanitaria y a la asistencia social. Con relación al artículo 2º, se dejan sin efecto las limitaciones contenidas en el artículo 12 y en el primer párrafo del artículo 21 de la Ley 25.917,</t>
  </si>
  <si>
    <t>1º y 2º de la Ley Nº 26.530". Por el primero, se excluyen de los artículos 10 y 19 del Régimen Federal de Responsabilidad Fiscal –que fijan un tope a la tasa nominal de incremento del gasto público primario y establecen la obligatoriedad de ejecutar los presupuestos preservando el equilibrio financiero- a aquellos gastos que se destinen a promover la actividad económica, a sostener el nivel de empleo y dar cobertura a la emergencia sanitaria y a la asistencia social. Con relación al artículo 2º, se dejan sin efecto las limitaciones contenidas en el artículo 12 y en el primer párrafo del artículo 21 de la Ley 25.917,</t>
  </si>
  <si>
    <t>Municipal 2015. La metodologia que se aplicó fue la siguiente: se dividio al departamento en tres zonas:</t>
  </si>
  <si>
    <t>y propuestas solicitadas algunas se comienzan a ejecutar en el año 2014, a saber: para diversas arterias del departamento se desaceleradores</t>
  </si>
  <si>
    <t>comenzó con la colocación de semáforos, demarcación de sendas para peatones y rampas peatonales, reparación de veredas,</t>
  </si>
  <si>
    <t xml:space="preserve">cierre perimetral de la Asociación de futbol, remodelacion plaza Libertad, colocacion de refugios peatonales. </t>
  </si>
  <si>
    <t>Ademas se ha previsto implementar redes socio educativas para la zona este en coordinacion con diversas areas municipales.</t>
  </si>
  <si>
    <t xml:space="preserve">Las propuestas computadas ascienden a un total de $  47.623.330 lo que representa  alrededor de un </t>
  </si>
  <si>
    <t>34 % del plan de obras 2015</t>
  </si>
  <si>
    <t>CANALIZACION DESAGUE FLUVIAL ZANJON Y REPARACION BARANDAS DIST. SARMIENTO</t>
  </si>
  <si>
    <t xml:space="preserve">ADMINISTRACION </t>
  </si>
  <si>
    <t>CIERRE PERIMETRAL BARRIO 4 DE JULIO</t>
  </si>
  <si>
    <t>BARRIO UDILEN CORDON, BANQUINA Y CUNETA</t>
  </si>
  <si>
    <t>CONEXIÓN DE CLOACAS SUM DISTRITO SARMIENTO</t>
  </si>
  <si>
    <t>JUEGOS INCLUSIVOS PLAZA JANSSEN</t>
  </si>
  <si>
    <t>SUBSIDIO POLIDEPORTIVO CALLE CACHEUTA</t>
  </si>
  <si>
    <t>SUBSIDIO</t>
  </si>
  <si>
    <t>ARREGLOS CEMENTERIO MUNICIPAL</t>
  </si>
  <si>
    <t>TODO EL DPTO.</t>
  </si>
  <si>
    <t>ERRADICACION DE FORESTALES Y ARREGLO DE CUNETAS</t>
  </si>
  <si>
    <t>ILUMINACION</t>
  </si>
  <si>
    <t>CIERRE PERIMETRAL COLOBA</t>
  </si>
  <si>
    <t>AMPLIACION CLUB AGUSTIN ALVAREZ</t>
  </si>
  <si>
    <t>HORMIGONADO PASILLOS PARQUE SUR</t>
  </si>
  <si>
    <t>SUBSIDIO ASOC. DE EQUINOTERAPIA</t>
  </si>
  <si>
    <t>ZONA OSTE</t>
  </si>
  <si>
    <t>PUENTE PEATONAL DISTRITO SARMIENTO</t>
  </si>
  <si>
    <t xml:space="preserve">TODO EL DPTO. </t>
  </si>
  <si>
    <t>CIERRE Y REPARACION DE POLIDEPORTIVOS</t>
  </si>
  <si>
    <t>REFUNCIONALIZACION NUDO VIAL CALLE PROGRESO</t>
  </si>
  <si>
    <t>GASTOS A CLASIFICAR</t>
  </si>
  <si>
    <t>POLIPORTIVO Bº LA GLORIA CANCHA DE CÉSPED SINTÉTICO</t>
  </si>
  <si>
    <t xml:space="preserve">                    OBRAS EN EJECUCIÓN  A AFECTAR EN EL PPTO. 2015</t>
  </si>
  <si>
    <t>POLIPORTIVO Bº CHILE CANCHA DE CÉSPED SINTÉTICO</t>
  </si>
  <si>
    <t>OBRAS LICITADAS Y A AFECTAR EN EL 2015</t>
  </si>
  <si>
    <t>Población s / DEIE 2010 - Gasto Primario estimado en presupuesto 2015</t>
  </si>
  <si>
    <t>Estimado en presupuesto 2015</t>
  </si>
  <si>
    <t>Recursos corrientes de origen municipal por tasas y derechos estimado en presupuesto 2015 - Población s/ DEIE</t>
  </si>
  <si>
    <t>Independecia tributaria estimada en presupuesto 2015</t>
  </si>
  <si>
    <t>Ordenanza Nº 6355/14</t>
  </si>
  <si>
    <t>Ordenanza 6355/14</t>
  </si>
  <si>
    <t>ENTRE PRESUPUESTO VIGENTE  Y PROYECTO 2015</t>
  </si>
  <si>
    <t>Ordenanza Nº  6355/14</t>
  </si>
  <si>
    <t>8.93%</t>
  </si>
  <si>
    <t xml:space="preserve"> y el 35% restante corresponde a la Compensacion Funcional Alimentaria según Ley Nº 5,811</t>
  </si>
</sst>
</file>

<file path=xl/styles.xml><?xml version="1.0" encoding="utf-8"?>
<styleSheet xmlns="http://schemas.openxmlformats.org/spreadsheetml/2006/main">
  <numFmts count="8">
    <numFmt numFmtId="164" formatCode="_ &quot;$&quot;\ * #,##0.00_ ;_ &quot;$&quot;\ * \-#,##0.00_ ;_ &quot;$&quot;\ * &quot;-&quot;??_ ;_ @_ "/>
    <numFmt numFmtId="165" formatCode="_ * #,##0.00_ ;_ * \-#,##0.00_ ;_ * &quot;-&quot;??_ ;_ @_ "/>
    <numFmt numFmtId="166" formatCode="#,##0_ ;\-#,##0\ "/>
    <numFmt numFmtId="167" formatCode="_ * #,##0_ ;_ * \-#,##0_ ;_ * &quot;-&quot;??_ ;_ @_ "/>
    <numFmt numFmtId="168" formatCode="0.0%"/>
    <numFmt numFmtId="169" formatCode="0;\ \(0\)"/>
    <numFmt numFmtId="170" formatCode="&quot;$&quot;\ #,##0"/>
    <numFmt numFmtId="171" formatCode="&quot;$&quot;\ #,##0.00"/>
  </numFmts>
  <fonts count="52">
    <font>
      <sz val="11"/>
      <color theme="1"/>
      <name val="Calibri"/>
      <family val="2"/>
      <scheme val="minor"/>
    </font>
    <font>
      <sz val="8"/>
      <color indexed="8"/>
      <name val="Calibri"/>
      <family val="2"/>
    </font>
    <font>
      <b/>
      <sz val="8"/>
      <color indexed="8"/>
      <name val="Calibri"/>
      <family val="2"/>
    </font>
    <font>
      <b/>
      <sz val="12"/>
      <name val="Calibri"/>
      <family val="2"/>
    </font>
    <font>
      <sz val="12"/>
      <name val="Calibri"/>
      <family val="2"/>
    </font>
    <font>
      <sz val="10"/>
      <name val="Calibri"/>
      <family val="2"/>
    </font>
    <font>
      <b/>
      <sz val="10"/>
      <name val="Calibri"/>
      <family val="2"/>
    </font>
    <font>
      <sz val="9"/>
      <name val="Calibri"/>
      <family val="2"/>
    </font>
    <font>
      <sz val="11"/>
      <name val="Calibri"/>
      <family val="2"/>
    </font>
    <font>
      <b/>
      <sz val="14"/>
      <name val="Calibri"/>
      <family val="2"/>
    </font>
    <font>
      <b/>
      <sz val="8"/>
      <name val="Calibri"/>
      <family val="2"/>
    </font>
    <font>
      <b/>
      <sz val="9"/>
      <name val="Calibri"/>
      <family val="2"/>
    </font>
    <font>
      <sz val="12"/>
      <name val="Arial"/>
      <family val="2"/>
    </font>
    <font>
      <b/>
      <sz val="11"/>
      <name val="Calibri"/>
      <family val="2"/>
    </font>
    <font>
      <sz val="10"/>
      <name val="Arial"/>
      <family val="2"/>
    </font>
    <font>
      <sz val="8"/>
      <name val="Calibri"/>
      <family val="2"/>
    </font>
    <font>
      <i/>
      <sz val="10"/>
      <name val="Calibri"/>
      <family val="2"/>
    </font>
    <font>
      <sz val="9"/>
      <color indexed="8"/>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name val="Calibri"/>
      <family val="2"/>
      <scheme val="minor"/>
    </font>
    <font>
      <b/>
      <sz val="9"/>
      <color theme="1"/>
      <name val="Calibri"/>
      <family val="2"/>
      <scheme val="minor"/>
    </font>
    <font>
      <sz val="9"/>
      <color theme="1"/>
      <name val="Calibri"/>
      <family val="2"/>
      <scheme val="minor"/>
    </font>
    <font>
      <b/>
      <i/>
      <sz val="11"/>
      <color theme="1"/>
      <name val="Calibri"/>
      <family val="2"/>
      <scheme val="minor"/>
    </font>
    <font>
      <b/>
      <i/>
      <u/>
      <sz val="11"/>
      <color theme="1"/>
      <name val="Calibri"/>
      <family val="2"/>
      <scheme val="minor"/>
    </font>
    <font>
      <sz val="10"/>
      <color theme="1"/>
      <name val="Calibri"/>
      <family val="2"/>
      <scheme val="minor"/>
    </font>
    <font>
      <b/>
      <sz val="10"/>
      <color theme="1"/>
      <name val="Calibri"/>
      <family val="2"/>
      <scheme val="minor"/>
    </font>
    <font>
      <b/>
      <sz val="8"/>
      <color theme="1"/>
      <name val="Calibri"/>
      <family val="2"/>
      <scheme val="minor"/>
    </font>
    <font>
      <b/>
      <i/>
      <sz val="10"/>
      <color theme="1"/>
      <name val="Calibri"/>
      <family val="2"/>
      <scheme val="minor"/>
    </font>
    <font>
      <i/>
      <sz val="11"/>
      <color theme="1"/>
      <name val="Calibri"/>
      <family val="2"/>
      <scheme val="minor"/>
    </font>
    <font>
      <sz val="8"/>
      <color theme="1"/>
      <name val="Calibri"/>
      <family val="2"/>
      <scheme val="minor"/>
    </font>
    <font>
      <i/>
      <sz val="10"/>
      <color theme="1"/>
      <name val="Calibri"/>
      <family val="2"/>
      <scheme val="minor"/>
    </font>
    <font>
      <sz val="10"/>
      <color indexed="8"/>
      <name val="Calibri"/>
      <family val="2"/>
      <scheme val="minor"/>
    </font>
    <font>
      <b/>
      <sz val="10"/>
      <name val="Calibri"/>
      <family val="2"/>
      <scheme val="minor"/>
    </font>
    <font>
      <sz val="8"/>
      <name val="Calibri"/>
      <family val="2"/>
      <scheme val="minor"/>
    </font>
    <font>
      <b/>
      <i/>
      <sz val="14"/>
      <name val="Calibri"/>
      <family val="2"/>
      <scheme val="minor"/>
    </font>
    <font>
      <b/>
      <sz val="16"/>
      <name val="Calibri"/>
      <family val="2"/>
      <scheme val="minor"/>
    </font>
    <font>
      <b/>
      <sz val="11"/>
      <name val="Calibri"/>
      <family val="2"/>
      <scheme val="minor"/>
    </font>
    <font>
      <sz val="11"/>
      <name val="Calibri"/>
      <family val="2"/>
      <scheme val="minor"/>
    </font>
    <font>
      <b/>
      <sz val="12"/>
      <name val="Calibri"/>
      <family val="2"/>
      <scheme val="minor"/>
    </font>
    <font>
      <b/>
      <sz val="16"/>
      <color indexed="8"/>
      <name val="Calibri"/>
      <family val="2"/>
      <scheme val="minor"/>
    </font>
    <font>
      <b/>
      <i/>
      <sz val="14"/>
      <color indexed="8"/>
      <name val="Calibri"/>
      <family val="2"/>
      <scheme val="minor"/>
    </font>
    <font>
      <b/>
      <sz val="12"/>
      <color indexed="8"/>
      <name val="Calibri"/>
      <family val="2"/>
      <scheme val="minor"/>
    </font>
    <font>
      <sz val="12"/>
      <name val="Calibri"/>
      <family val="2"/>
      <scheme val="minor"/>
    </font>
    <font>
      <b/>
      <u/>
      <sz val="11"/>
      <color theme="1"/>
      <name val="Calibri"/>
      <family val="2"/>
      <scheme val="minor"/>
    </font>
    <font>
      <sz val="16"/>
      <color indexed="8"/>
      <name val="Calibri"/>
      <family val="2"/>
      <scheme val="minor"/>
    </font>
    <font>
      <b/>
      <i/>
      <sz val="18"/>
      <color indexed="8"/>
      <name val="Calibri"/>
      <family val="2"/>
      <scheme val="minor"/>
    </font>
    <font>
      <b/>
      <i/>
      <sz val="16"/>
      <name val="Calibri"/>
      <family val="2"/>
      <scheme val="minor"/>
    </font>
    <font>
      <b/>
      <u/>
      <sz val="11"/>
      <name val="Calibri"/>
      <family val="2"/>
      <scheme val="minor"/>
    </font>
    <font>
      <sz val="11"/>
      <name val="Arial"/>
      <family val="2"/>
    </font>
    <font>
      <sz val="9"/>
      <name val="Calibri"/>
      <family val="2"/>
      <scheme val="minor"/>
    </font>
  </fonts>
  <fills count="8">
    <fill>
      <patternFill patternType="none"/>
    </fill>
    <fill>
      <patternFill patternType="gray125"/>
    </fill>
    <fill>
      <patternFill patternType="solid">
        <fgColor indexed="9"/>
        <bgColor indexed="9"/>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theme="2" tint="-0.249977111117893"/>
        <bgColor indexed="9"/>
      </patternFill>
    </fill>
    <fill>
      <patternFill patternType="solid">
        <fgColor theme="0" tint="-0.249977111117893"/>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right/>
      <top/>
      <bottom style="thick">
        <color indexed="23"/>
      </bottom>
      <diagonal/>
    </border>
    <border>
      <left style="thin">
        <color indexed="23"/>
      </left>
      <right style="thin">
        <color indexed="23"/>
      </right>
      <top/>
      <bottom style="thin">
        <color indexed="23"/>
      </bottom>
      <diagonal/>
    </border>
    <border>
      <left style="medium">
        <color indexed="23"/>
      </left>
      <right style="medium">
        <color indexed="23"/>
      </right>
      <top style="medium">
        <color indexed="23"/>
      </top>
      <bottom style="medium">
        <color indexed="23"/>
      </bottom>
      <diagonal/>
    </border>
    <border>
      <left style="medium">
        <color indexed="55"/>
      </left>
      <right style="medium">
        <color indexed="55"/>
      </right>
      <top style="medium">
        <color indexed="55"/>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style="thin">
        <color indexed="23"/>
      </top>
      <bottom/>
      <diagonal/>
    </border>
    <border>
      <left style="medium">
        <color indexed="23"/>
      </left>
      <right style="medium">
        <color indexed="23"/>
      </right>
      <top/>
      <bottom style="thin">
        <color indexed="23"/>
      </bottom>
      <diagonal/>
    </border>
    <border>
      <left style="medium">
        <color indexed="23"/>
      </left>
      <right style="medium">
        <color indexed="23"/>
      </right>
      <top/>
      <bottom style="medium">
        <color indexed="23"/>
      </bottom>
      <diagonal/>
    </border>
    <border>
      <left style="thick">
        <color indexed="23"/>
      </left>
      <right style="thin">
        <color indexed="23"/>
      </right>
      <top/>
      <bottom style="thin">
        <color indexed="23"/>
      </bottom>
      <diagonal/>
    </border>
    <border>
      <left style="thick">
        <color indexed="23"/>
      </left>
      <right style="thin">
        <color indexed="23"/>
      </right>
      <top style="thin">
        <color indexed="23"/>
      </top>
      <bottom style="thin">
        <color indexed="23"/>
      </bottom>
      <diagonal/>
    </border>
    <border>
      <left/>
      <right/>
      <top/>
      <bottom style="thin">
        <color indexed="23"/>
      </bottom>
      <diagonal/>
    </border>
    <border>
      <left style="thin">
        <color indexed="23"/>
      </left>
      <right style="thick">
        <color indexed="23"/>
      </right>
      <top/>
      <bottom style="thin">
        <color indexed="23"/>
      </bottom>
      <diagonal/>
    </border>
    <border>
      <left style="thin">
        <color indexed="23"/>
      </left>
      <right style="thick">
        <color indexed="23"/>
      </right>
      <top style="thin">
        <color indexed="23"/>
      </top>
      <bottom style="thin">
        <color indexed="23"/>
      </bottom>
      <diagonal/>
    </border>
    <border>
      <left/>
      <right style="medium">
        <color indexed="64"/>
      </right>
      <top/>
      <bottom/>
      <diagonal/>
    </border>
    <border>
      <left style="thin">
        <color indexed="64"/>
      </left>
      <right/>
      <top/>
      <bottom/>
      <diagonal/>
    </border>
    <border>
      <left/>
      <right/>
      <top/>
      <bottom style="thick">
        <color theme="1" tint="0.499984740745262"/>
      </bottom>
      <diagonal/>
    </border>
    <border>
      <left style="medium">
        <color theme="1" tint="0.34998626667073579"/>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style="medium">
        <color theme="1" tint="0.34998626667073579"/>
      </top>
      <bottom/>
      <diagonal/>
    </border>
    <border>
      <left style="medium">
        <color theme="1" tint="0.34998626667073579"/>
      </left>
      <right style="medium">
        <color theme="1" tint="0.34998626667073579"/>
      </right>
      <top/>
      <bottom/>
      <diagonal/>
    </border>
    <border>
      <left style="medium">
        <color theme="1" tint="0.34998626667073579"/>
      </left>
      <right style="medium">
        <color theme="1" tint="0.34998626667073579"/>
      </right>
      <top/>
      <bottom style="medium">
        <color theme="1" tint="0.34998626667073579"/>
      </bottom>
      <diagonal/>
    </border>
    <border>
      <left style="medium">
        <color theme="1" tint="0.34998626667073579"/>
      </left>
      <right style="medium">
        <color theme="1" tint="0.34998626667073579"/>
      </right>
      <top style="thin">
        <color theme="1" tint="0.499984740745262"/>
      </top>
      <bottom style="thin">
        <color theme="1" tint="0.499984740745262"/>
      </bottom>
      <diagonal/>
    </border>
    <border>
      <left style="medium">
        <color theme="1" tint="0.34998626667073579"/>
      </left>
      <right style="medium">
        <color theme="1" tint="0.34998626667073579"/>
      </right>
      <top style="thin">
        <color theme="1" tint="0.499984740745262"/>
      </top>
      <bottom style="medium">
        <color theme="1"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1" tint="0.499984740745262"/>
      </bottom>
      <diagonal/>
    </border>
    <border>
      <left/>
      <right/>
      <top style="thin">
        <color theme="2"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right/>
      <top/>
      <bottom style="medium">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7">
    <xf numFmtId="0" fontId="0" fillId="0" borderId="0"/>
    <xf numFmtId="165" fontId="18" fillId="0" borderId="0" applyFont="0" applyFill="0" applyBorder="0" applyAlignment="0" applyProtection="0"/>
    <xf numFmtId="164" fontId="18" fillId="0" borderId="0" applyFont="0" applyFill="0" applyBorder="0" applyAlignment="0" applyProtection="0"/>
    <xf numFmtId="0" fontId="12" fillId="0" borderId="0"/>
    <xf numFmtId="9" fontId="18" fillId="0" borderId="0" applyFont="0" applyFill="0" applyBorder="0" applyAlignment="0" applyProtection="0"/>
    <xf numFmtId="0" fontId="14" fillId="0" borderId="0"/>
    <xf numFmtId="0" fontId="50" fillId="0" borderId="0"/>
  </cellStyleXfs>
  <cellXfs count="471">
    <xf numFmtId="0" fontId="0" fillId="0" borderId="0" xfId="0"/>
    <xf numFmtId="0" fontId="21" fillId="0" borderId="0" xfId="0" applyFont="1"/>
    <xf numFmtId="4" fontId="21" fillId="0" borderId="0" xfId="0" applyNumberFormat="1" applyFont="1" applyBorder="1"/>
    <xf numFmtId="165" fontId="21" fillId="0" borderId="0" xfId="1" applyFont="1"/>
    <xf numFmtId="3" fontId="21" fillId="0" borderId="0" xfId="0" applyNumberFormat="1" applyFont="1"/>
    <xf numFmtId="0" fontId="21" fillId="0" borderId="0" xfId="0" applyFont="1" applyBorder="1"/>
    <xf numFmtId="0" fontId="21" fillId="0" borderId="21" xfId="0" applyFont="1" applyBorder="1"/>
    <xf numFmtId="0" fontId="20" fillId="0" borderId="0" xfId="0" applyFont="1"/>
    <xf numFmtId="0" fontId="22" fillId="3" borderId="0" xfId="0" applyFont="1" applyFill="1" applyAlignment="1">
      <alignment horizontal="center"/>
    </xf>
    <xf numFmtId="0" fontId="23" fillId="0" borderId="0" xfId="0" applyFont="1" applyAlignment="1">
      <alignment horizontal="center"/>
    </xf>
    <xf numFmtId="0" fontId="24" fillId="0" borderId="0" xfId="0" applyFont="1"/>
    <xf numFmtId="166" fontId="20" fillId="4" borderId="0" xfId="1" applyNumberFormat="1" applyFont="1" applyFill="1"/>
    <xf numFmtId="166" fontId="24" fillId="3" borderId="0" xfId="1" applyNumberFormat="1" applyFont="1" applyFill="1"/>
    <xf numFmtId="166" fontId="24" fillId="3" borderId="0" xfId="0" applyNumberFormat="1" applyFont="1" applyFill="1"/>
    <xf numFmtId="0" fontId="24" fillId="0" borderId="0" xfId="0" applyFont="1" applyAlignment="1">
      <alignment horizontal="center"/>
    </xf>
    <xf numFmtId="10" fontId="24" fillId="3" borderId="0" xfId="4" applyNumberFormat="1" applyFont="1" applyFill="1"/>
    <xf numFmtId="10" fontId="24" fillId="3" borderId="0" xfId="0" applyNumberFormat="1" applyFont="1" applyFill="1"/>
    <xf numFmtId="10" fontId="20" fillId="4" borderId="0" xfId="4" applyNumberFormat="1" applyFont="1" applyFill="1"/>
    <xf numFmtId="0" fontId="25" fillId="0" borderId="0" xfId="0" applyFont="1"/>
    <xf numFmtId="0" fontId="25" fillId="0" borderId="0" xfId="0" applyFont="1" applyAlignment="1">
      <alignment horizontal="center"/>
    </xf>
    <xf numFmtId="0" fontId="26" fillId="0" borderId="0" xfId="0" applyFont="1"/>
    <xf numFmtId="166" fontId="26" fillId="0" borderId="0" xfId="1" applyNumberFormat="1" applyFont="1"/>
    <xf numFmtId="10" fontId="26" fillId="0" borderId="0" xfId="4" applyNumberFormat="1" applyFont="1"/>
    <xf numFmtId="0" fontId="22" fillId="5" borderId="0" xfId="0" applyFont="1" applyFill="1" applyAlignment="1">
      <alignment horizontal="center"/>
    </xf>
    <xf numFmtId="0" fontId="23" fillId="5" borderId="0" xfId="0" applyFont="1" applyFill="1" applyAlignment="1">
      <alignment horizontal="center"/>
    </xf>
    <xf numFmtId="166" fontId="24" fillId="4" borderId="0" xfId="1" applyNumberFormat="1" applyFont="1" applyFill="1"/>
    <xf numFmtId="0" fontId="27" fillId="0" borderId="0" xfId="0" applyFont="1" applyAlignment="1">
      <alignment horizontal="center"/>
    </xf>
    <xf numFmtId="0" fontId="20" fillId="0" borderId="0" xfId="0" applyFont="1" applyAlignment="1"/>
    <xf numFmtId="0" fontId="22" fillId="3" borderId="22" xfId="0" applyFont="1" applyFill="1" applyBorder="1" applyAlignment="1">
      <alignment horizontal="center"/>
    </xf>
    <xf numFmtId="0" fontId="22" fillId="3" borderId="23" xfId="0" applyFont="1" applyFill="1" applyBorder="1" applyAlignment="1">
      <alignment horizontal="center"/>
    </xf>
    <xf numFmtId="0" fontId="22" fillId="5" borderId="24" xfId="0" applyFont="1" applyFill="1" applyBorder="1" applyAlignment="1">
      <alignment horizontal="center"/>
    </xf>
    <xf numFmtId="0" fontId="22" fillId="5" borderId="25" xfId="0" applyFont="1" applyFill="1" applyBorder="1" applyAlignment="1">
      <alignment horizontal="center"/>
    </xf>
    <xf numFmtId="0" fontId="0" fillId="0" borderId="24" xfId="0" applyFont="1" applyBorder="1"/>
    <xf numFmtId="166" fontId="0" fillId="5" borderId="25" xfId="0" applyNumberFormat="1" applyFont="1" applyFill="1" applyBorder="1"/>
    <xf numFmtId="0" fontId="26" fillId="0" borderId="24" xfId="0" applyFont="1" applyBorder="1"/>
    <xf numFmtId="0" fontId="0" fillId="0" borderId="24" xfId="0" applyBorder="1"/>
    <xf numFmtId="0" fontId="20" fillId="0" borderId="24" xfId="0" applyFont="1" applyBorder="1" applyAlignment="1">
      <alignment horizontal="center"/>
    </xf>
    <xf numFmtId="166" fontId="20" fillId="5" borderId="25" xfId="0" applyNumberFormat="1" applyFont="1" applyFill="1" applyBorder="1"/>
    <xf numFmtId="166" fontId="24" fillId="3" borderId="25" xfId="0" applyNumberFormat="1" applyFont="1" applyFill="1" applyBorder="1"/>
    <xf numFmtId="0" fontId="25" fillId="0" borderId="24" xfId="0" applyFont="1" applyBorder="1"/>
    <xf numFmtId="0" fontId="20" fillId="0" borderId="24" xfId="0" applyFont="1" applyBorder="1"/>
    <xf numFmtId="0" fontId="0" fillId="0" borderId="25" xfId="0" applyBorder="1"/>
    <xf numFmtId="166" fontId="24" fillId="3" borderId="26" xfId="0" applyNumberFormat="1" applyFont="1" applyFill="1" applyBorder="1"/>
    <xf numFmtId="0" fontId="22" fillId="3" borderId="27" xfId="0" applyFont="1" applyFill="1" applyBorder="1" applyAlignment="1">
      <alignment horizontal="center"/>
    </xf>
    <xf numFmtId="0" fontId="22" fillId="5" borderId="28" xfId="0" applyFont="1" applyFill="1" applyBorder="1" applyAlignment="1">
      <alignment horizontal="center"/>
    </xf>
    <xf numFmtId="166" fontId="24" fillId="5" borderId="28" xfId="0" applyNumberFormat="1" applyFont="1" applyFill="1" applyBorder="1"/>
    <xf numFmtId="166" fontId="0" fillId="5" borderId="28" xfId="0" applyNumberFormat="1" applyFont="1" applyFill="1" applyBorder="1"/>
    <xf numFmtId="166" fontId="24" fillId="3" borderId="28" xfId="0" applyNumberFormat="1" applyFont="1" applyFill="1" applyBorder="1"/>
    <xf numFmtId="166" fontId="24" fillId="3" borderId="29" xfId="0" applyNumberFormat="1" applyFont="1" applyFill="1" applyBorder="1"/>
    <xf numFmtId="0" fontId="24" fillId="0" borderId="30" xfId="0" applyFont="1" applyBorder="1" applyAlignment="1">
      <alignment horizontal="center"/>
    </xf>
    <xf numFmtId="0" fontId="24" fillId="0" borderId="31" xfId="0" applyFont="1" applyBorder="1" applyAlignment="1">
      <alignment horizontal="center"/>
    </xf>
    <xf numFmtId="0" fontId="28" fillId="3" borderId="0" xfId="0" applyFont="1" applyFill="1"/>
    <xf numFmtId="0" fontId="26" fillId="0" borderId="0" xfId="0" applyFont="1" applyAlignment="1">
      <alignment horizontal="center"/>
    </xf>
    <xf numFmtId="0" fontId="26" fillId="0" borderId="32" xfId="0" applyFont="1" applyBorder="1" applyAlignment="1">
      <alignment horizontal="center"/>
    </xf>
    <xf numFmtId="0" fontId="26" fillId="0" borderId="32" xfId="0" applyFont="1" applyBorder="1"/>
    <xf numFmtId="0" fontId="29" fillId="3" borderId="32" xfId="0" applyFont="1" applyFill="1" applyBorder="1"/>
    <xf numFmtId="49" fontId="26" fillId="0" borderId="32" xfId="0" applyNumberFormat="1" applyFont="1" applyBorder="1" applyAlignment="1">
      <alignment horizontal="center"/>
    </xf>
    <xf numFmtId="0" fontId="27" fillId="0" borderId="32" xfId="0" applyFont="1" applyBorder="1"/>
    <xf numFmtId="0" fontId="27" fillId="4" borderId="32" xfId="0" applyFont="1" applyFill="1" applyBorder="1"/>
    <xf numFmtId="0" fontId="27" fillId="4" borderId="32" xfId="0" applyFont="1" applyFill="1" applyBorder="1" applyAlignment="1">
      <alignment horizontal="right"/>
    </xf>
    <xf numFmtId="0" fontId="27" fillId="4" borderId="33" xfId="0" applyFont="1" applyFill="1" applyBorder="1" applyAlignment="1">
      <alignment horizontal="right"/>
    </xf>
    <xf numFmtId="0" fontId="26" fillId="0" borderId="34" xfId="0" applyFont="1" applyBorder="1" applyAlignment="1">
      <alignment horizontal="center"/>
    </xf>
    <xf numFmtId="49" fontId="26" fillId="0" borderId="34" xfId="0" applyNumberFormat="1" applyFont="1" applyBorder="1" applyAlignment="1">
      <alignment horizontal="center"/>
    </xf>
    <xf numFmtId="0" fontId="27" fillId="4" borderId="34" xfId="0" applyFont="1" applyFill="1" applyBorder="1"/>
    <xf numFmtId="0" fontId="26" fillId="4" borderId="35" xfId="0" applyFont="1" applyFill="1" applyBorder="1" applyAlignment="1">
      <alignment horizontal="center"/>
    </xf>
    <xf numFmtId="0" fontId="26" fillId="4" borderId="36" xfId="0" applyFont="1" applyFill="1" applyBorder="1" applyAlignment="1">
      <alignment horizontal="center"/>
    </xf>
    <xf numFmtId="49" fontId="26" fillId="4" borderId="36" xfId="0" applyNumberFormat="1" applyFont="1" applyFill="1" applyBorder="1" applyAlignment="1">
      <alignment horizontal="center"/>
    </xf>
    <xf numFmtId="0" fontId="20" fillId="4" borderId="0" xfId="0" applyFont="1" applyFill="1"/>
    <xf numFmtId="0" fontId="20" fillId="4" borderId="0" xfId="0" applyFont="1" applyFill="1" applyAlignment="1">
      <alignment horizontal="center" vertical="center" wrapText="1"/>
    </xf>
    <xf numFmtId="0" fontId="20" fillId="4" borderId="0" xfId="0" applyFont="1" applyFill="1" applyAlignment="1">
      <alignment horizontal="right"/>
    </xf>
    <xf numFmtId="167" fontId="18" fillId="4" borderId="0" xfId="1" applyNumberFormat="1" applyFont="1" applyFill="1"/>
    <xf numFmtId="0" fontId="22" fillId="4" borderId="0" xfId="0" applyFont="1" applyFill="1" applyAlignment="1">
      <alignment horizontal="center"/>
    </xf>
    <xf numFmtId="167" fontId="20" fillId="4" borderId="37" xfId="1" applyNumberFormat="1" applyFont="1" applyFill="1" applyBorder="1"/>
    <xf numFmtId="10" fontId="20" fillId="4" borderId="37" xfId="4" applyNumberFormat="1" applyFont="1" applyFill="1" applyBorder="1"/>
    <xf numFmtId="167" fontId="20" fillId="4" borderId="38" xfId="1" applyNumberFormat="1" applyFont="1" applyFill="1" applyBorder="1"/>
    <xf numFmtId="167" fontId="20" fillId="4" borderId="39" xfId="1" applyNumberFormat="1" applyFont="1" applyFill="1" applyBorder="1"/>
    <xf numFmtId="167" fontId="18" fillId="0" borderId="37" xfId="1" applyNumberFormat="1" applyFont="1" applyBorder="1"/>
    <xf numFmtId="167" fontId="20" fillId="4" borderId="38" xfId="1" applyNumberFormat="1" applyFont="1" applyFill="1" applyBorder="1" applyAlignment="1">
      <alignment horizontal="right" vertical="center"/>
    </xf>
    <xf numFmtId="167" fontId="20" fillId="4" borderId="37" xfId="1" applyNumberFormat="1" applyFont="1" applyFill="1" applyBorder="1" applyAlignment="1">
      <alignment horizontal="right" vertical="center"/>
    </xf>
    <xf numFmtId="9" fontId="20" fillId="4" borderId="37" xfId="4" applyFont="1" applyFill="1" applyBorder="1"/>
    <xf numFmtId="0" fontId="0" fillId="0" borderId="0" xfId="0" applyAlignment="1">
      <alignment horizontal="center"/>
    </xf>
    <xf numFmtId="167" fontId="24" fillId="4" borderId="0" xfId="1" applyNumberFormat="1" applyFont="1" applyFill="1"/>
    <xf numFmtId="167" fontId="24" fillId="0" borderId="37" xfId="1" applyNumberFormat="1" applyFont="1" applyBorder="1"/>
    <xf numFmtId="0" fontId="30" fillId="0" borderId="0" xfId="0" applyFont="1"/>
    <xf numFmtId="167" fontId="26" fillId="4" borderId="0" xfId="1" applyNumberFormat="1" applyFont="1" applyFill="1"/>
    <xf numFmtId="167" fontId="26" fillId="0" borderId="37" xfId="1" applyNumberFormat="1" applyFont="1" applyBorder="1"/>
    <xf numFmtId="0" fontId="0" fillId="0" borderId="0" xfId="0" applyFont="1"/>
    <xf numFmtId="49" fontId="23" fillId="0" borderId="0" xfId="0" applyNumberFormat="1" applyFont="1" applyAlignment="1">
      <alignment horizontal="center"/>
    </xf>
    <xf numFmtId="167" fontId="18" fillId="0" borderId="37" xfId="1" applyNumberFormat="1" applyFont="1" applyBorder="1"/>
    <xf numFmtId="0" fontId="20" fillId="4" borderId="0" xfId="0" applyFont="1" applyFill="1" applyAlignment="1">
      <alignment horizontal="center"/>
    </xf>
    <xf numFmtId="49" fontId="22" fillId="0" borderId="0" xfId="0" applyNumberFormat="1" applyFont="1" applyAlignment="1">
      <alignment horizontal="center"/>
    </xf>
    <xf numFmtId="0" fontId="27" fillId="0" borderId="0" xfId="0" applyFont="1"/>
    <xf numFmtId="167" fontId="27" fillId="4" borderId="0" xfId="1" applyNumberFormat="1" applyFont="1" applyFill="1"/>
    <xf numFmtId="0" fontId="22" fillId="0" borderId="0" xfId="0" applyFont="1" applyAlignment="1">
      <alignment horizontal="center"/>
    </xf>
    <xf numFmtId="167" fontId="0" fillId="0" borderId="0" xfId="0" applyNumberFormat="1"/>
    <xf numFmtId="0" fontId="21" fillId="0" borderId="0" xfId="0" applyFont="1" applyAlignment="1">
      <alignment horizontal="center"/>
    </xf>
    <xf numFmtId="49" fontId="0" fillId="0" borderId="0" xfId="0" applyNumberFormat="1" applyAlignment="1">
      <alignment horizontal="center"/>
    </xf>
    <xf numFmtId="49" fontId="0" fillId="0" borderId="37" xfId="0" applyNumberFormat="1" applyBorder="1" applyAlignment="1">
      <alignment horizontal="center"/>
    </xf>
    <xf numFmtId="0" fontId="20" fillId="0" borderId="37" xfId="0" applyFont="1" applyBorder="1"/>
    <xf numFmtId="0" fontId="26" fillId="0" borderId="37" xfId="0" applyFont="1" applyBorder="1"/>
    <xf numFmtId="0" fontId="21" fillId="0" borderId="21" xfId="0" applyFont="1" applyBorder="1" applyAlignment="1">
      <alignment horizontal="center"/>
    </xf>
    <xf numFmtId="49" fontId="20" fillId="0" borderId="37" xfId="0" applyNumberFormat="1" applyFont="1" applyBorder="1" applyAlignment="1">
      <alignment horizontal="center"/>
    </xf>
    <xf numFmtId="49" fontId="30" fillId="0" borderId="37" xfId="0" applyNumberFormat="1" applyFont="1" applyBorder="1" applyAlignment="1">
      <alignment horizontal="center"/>
    </xf>
    <xf numFmtId="49" fontId="26" fillId="0" borderId="37" xfId="0" applyNumberFormat="1" applyFont="1" applyBorder="1" applyAlignment="1">
      <alignment horizontal="center"/>
    </xf>
    <xf numFmtId="0" fontId="26" fillId="0" borderId="0" xfId="0" applyFont="1" applyAlignment="1">
      <alignment horizontal="left"/>
    </xf>
    <xf numFmtId="49" fontId="0" fillId="0" borderId="37" xfId="0" applyNumberFormat="1" applyFont="1" applyBorder="1" applyAlignment="1">
      <alignment horizontal="center"/>
    </xf>
    <xf numFmtId="167" fontId="20" fillId="0" borderId="37" xfId="1" applyNumberFormat="1" applyFont="1" applyBorder="1"/>
    <xf numFmtId="0" fontId="26" fillId="0" borderId="37" xfId="0" applyFont="1" applyBorder="1" applyAlignment="1">
      <alignment horizontal="center"/>
    </xf>
    <xf numFmtId="167" fontId="20" fillId="4" borderId="0" xfId="1" applyNumberFormat="1" applyFont="1" applyFill="1"/>
    <xf numFmtId="10" fontId="22" fillId="4" borderId="39" xfId="4" applyNumberFormat="1" applyFont="1" applyFill="1" applyBorder="1"/>
    <xf numFmtId="10" fontId="23" fillId="0" borderId="37" xfId="4" applyNumberFormat="1" applyFont="1" applyBorder="1"/>
    <xf numFmtId="10" fontId="22" fillId="4" borderId="37" xfId="4" applyNumberFormat="1" applyFont="1" applyFill="1" applyBorder="1"/>
    <xf numFmtId="10" fontId="22" fillId="4" borderId="37" xfId="4" applyNumberFormat="1" applyFont="1" applyFill="1" applyBorder="1" applyAlignment="1">
      <alignment horizontal="right" vertical="center"/>
    </xf>
    <xf numFmtId="0" fontId="23" fillId="0" borderId="0" xfId="0" applyFont="1"/>
    <xf numFmtId="167" fontId="18" fillId="0" borderId="0" xfId="1" applyNumberFormat="1" applyFont="1" applyBorder="1"/>
    <xf numFmtId="167" fontId="26" fillId="0" borderId="0" xfId="1" applyNumberFormat="1" applyFont="1"/>
    <xf numFmtId="167" fontId="23" fillId="0" borderId="0" xfId="1" applyNumberFormat="1" applyFont="1" applyAlignment="1">
      <alignment horizontal="center"/>
    </xf>
    <xf numFmtId="167" fontId="21" fillId="0" borderId="0" xfId="1" applyNumberFormat="1" applyFont="1"/>
    <xf numFmtId="167" fontId="18" fillId="0" borderId="0" xfId="1" applyNumberFormat="1" applyFont="1"/>
    <xf numFmtId="167" fontId="18" fillId="0" borderId="0" xfId="1" applyNumberFormat="1" applyFont="1" applyAlignment="1">
      <alignment horizontal="center"/>
    </xf>
    <xf numFmtId="167" fontId="30" fillId="0" borderId="0" xfId="1" applyNumberFormat="1" applyFont="1"/>
    <xf numFmtId="167" fontId="20" fillId="0" borderId="0" xfId="1" applyNumberFormat="1" applyFont="1"/>
    <xf numFmtId="167" fontId="24" fillId="0" borderId="0" xfId="1" applyNumberFormat="1" applyFont="1"/>
    <xf numFmtId="167" fontId="26" fillId="0" borderId="0" xfId="0" applyNumberFormat="1" applyFont="1"/>
    <xf numFmtId="167" fontId="18" fillId="0" borderId="0" xfId="1" applyNumberFormat="1" applyFont="1" applyFill="1" applyBorder="1"/>
    <xf numFmtId="167" fontId="21" fillId="0" borderId="21" xfId="1" applyNumberFormat="1" applyFont="1" applyBorder="1"/>
    <xf numFmtId="167" fontId="27" fillId="3" borderId="0" xfId="1" applyNumberFormat="1" applyFont="1" applyFill="1" applyAlignment="1">
      <alignment horizontal="center"/>
    </xf>
    <xf numFmtId="167" fontId="27" fillId="4" borderId="32" xfId="1" applyNumberFormat="1" applyFont="1" applyFill="1" applyBorder="1"/>
    <xf numFmtId="167" fontId="27" fillId="0" borderId="32" xfId="1" applyNumberFormat="1" applyFont="1" applyBorder="1"/>
    <xf numFmtId="167" fontId="26" fillId="0" borderId="32" xfId="1" applyNumberFormat="1" applyFont="1" applyBorder="1"/>
    <xf numFmtId="167" fontId="20" fillId="0" borderId="0" xfId="0" applyNumberFormat="1" applyFont="1"/>
    <xf numFmtId="0" fontId="5" fillId="0" borderId="0" xfId="0" applyFont="1"/>
    <xf numFmtId="0" fontId="3" fillId="0" borderId="0" xfId="0" applyFont="1" applyAlignment="1"/>
    <xf numFmtId="0" fontId="5" fillId="0" borderId="0" xfId="0" applyFont="1" applyFill="1"/>
    <xf numFmtId="0" fontId="5" fillId="0" borderId="0" xfId="0" applyFont="1" applyFill="1" applyBorder="1" applyProtection="1">
      <protection locked="0"/>
    </xf>
    <xf numFmtId="3" fontId="5" fillId="0" borderId="0" xfId="0" applyNumberFormat="1" applyFont="1" applyFill="1" applyBorder="1" applyProtection="1">
      <protection locked="0"/>
    </xf>
    <xf numFmtId="0" fontId="9"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6" fillId="0" borderId="5" xfId="0" applyFont="1" applyFill="1" applyBorder="1" applyAlignment="1">
      <alignment horizontal="center"/>
    </xf>
    <xf numFmtId="0" fontId="6" fillId="0" borderId="5" xfId="0" applyFont="1" applyFill="1" applyBorder="1" applyAlignment="1">
      <alignment horizontal="center" vertical="center" wrapText="1"/>
    </xf>
    <xf numFmtId="3" fontId="5" fillId="0" borderId="0" xfId="0" applyNumberFormat="1" applyFont="1" applyFill="1" applyBorder="1" applyAlignment="1" applyProtection="1">
      <alignment horizontal="center"/>
      <protection locked="0"/>
    </xf>
    <xf numFmtId="0" fontId="11" fillId="0" borderId="0" xfId="0" applyFont="1"/>
    <xf numFmtId="3" fontId="6" fillId="0" borderId="0" xfId="0" applyNumberFormat="1" applyFont="1"/>
    <xf numFmtId="9" fontId="6" fillId="0" borderId="0" xfId="0" applyNumberFormat="1" applyFont="1" applyFill="1" applyBorder="1" applyProtection="1">
      <protection locked="0"/>
    </xf>
    <xf numFmtId="0" fontId="6" fillId="0" borderId="0" xfId="0" applyFont="1" applyFill="1" applyBorder="1" applyAlignment="1" applyProtection="1">
      <protection locked="0"/>
    </xf>
    <xf numFmtId="3" fontId="6" fillId="0" borderId="0" xfId="0" applyNumberFormat="1" applyFont="1" applyFill="1" applyBorder="1" applyAlignment="1" applyProtection="1">
      <protection locked="0"/>
    </xf>
    <xf numFmtId="9" fontId="6" fillId="0" borderId="0" xfId="0" applyNumberFormat="1" applyFont="1" applyFill="1"/>
    <xf numFmtId="10" fontId="6" fillId="0" borderId="0" xfId="0" applyNumberFormat="1" applyFont="1"/>
    <xf numFmtId="9" fontId="5" fillId="0" borderId="0" xfId="0" applyNumberFormat="1" applyFont="1" applyFill="1"/>
    <xf numFmtId="0" fontId="6" fillId="0" borderId="0" xfId="0" applyFont="1"/>
    <xf numFmtId="0" fontId="6" fillId="0" borderId="0" xfId="0" applyFont="1" applyFill="1" applyBorder="1" applyProtection="1">
      <protection locked="0"/>
    </xf>
    <xf numFmtId="3" fontId="6" fillId="0" borderId="0" xfId="0" applyNumberFormat="1" applyFont="1" applyFill="1" applyBorder="1" applyProtection="1">
      <protection locked="0"/>
    </xf>
    <xf numFmtId="3" fontId="5" fillId="0" borderId="0" xfId="0" applyNumberFormat="1" applyFont="1"/>
    <xf numFmtId="9" fontId="5" fillId="0" borderId="0" xfId="0" applyNumberFormat="1" applyFont="1" applyFill="1" applyBorder="1" applyProtection="1">
      <protection locked="0"/>
    </xf>
    <xf numFmtId="3" fontId="5" fillId="0" borderId="0" xfId="0" applyNumberFormat="1" applyFont="1" applyFill="1"/>
    <xf numFmtId="10" fontId="5" fillId="0" borderId="0" xfId="0" applyNumberFormat="1" applyFont="1"/>
    <xf numFmtId="0" fontId="5" fillId="0" borderId="0" xfId="0" applyNumberFormat="1" applyFont="1" applyFill="1"/>
    <xf numFmtId="3" fontId="6"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10" fontId="6" fillId="0" borderId="0" xfId="0" applyNumberFormat="1" applyFont="1" applyFill="1" applyBorder="1" applyProtection="1">
      <protection locked="0"/>
    </xf>
    <xf numFmtId="0" fontId="5" fillId="0" borderId="0" xfId="0" applyFont="1" applyAlignment="1">
      <alignment horizontal="center"/>
    </xf>
    <xf numFmtId="10" fontId="5" fillId="0" borderId="0" xfId="4" applyNumberFormat="1" applyFont="1"/>
    <xf numFmtId="0" fontId="5" fillId="0" borderId="0" xfId="0" applyNumberFormat="1" applyFont="1"/>
    <xf numFmtId="3" fontId="5" fillId="0" borderId="2" xfId="0" applyNumberFormat="1" applyFont="1" applyBorder="1"/>
    <xf numFmtId="168" fontId="5" fillId="0" borderId="0" xfId="4" applyNumberFormat="1" applyFont="1"/>
    <xf numFmtId="168" fontId="5" fillId="0" borderId="0" xfId="0" applyNumberFormat="1" applyFont="1"/>
    <xf numFmtId="0" fontId="6" fillId="0" borderId="6" xfId="0" applyFont="1" applyBorder="1"/>
    <xf numFmtId="0" fontId="6" fillId="0" borderId="7" xfId="0" applyNumberFormat="1" applyFont="1" applyBorder="1"/>
    <xf numFmtId="168" fontId="6" fillId="0" borderId="8" xfId="0" applyNumberFormat="1" applyFont="1" applyBorder="1"/>
    <xf numFmtId="0" fontId="4" fillId="0" borderId="0" xfId="3" applyFont="1"/>
    <xf numFmtId="0" fontId="4" fillId="0" borderId="0" xfId="3" applyFont="1" applyAlignment="1">
      <alignment horizontal="center"/>
    </xf>
    <xf numFmtId="0" fontId="4" fillId="0" borderId="1" xfId="3" applyFont="1" applyBorder="1" applyAlignment="1">
      <alignment vertical="center" wrapText="1"/>
    </xf>
    <xf numFmtId="4" fontId="3" fillId="0" borderId="1" xfId="3" applyNumberFormat="1" applyFont="1" applyBorder="1" applyAlignment="1">
      <alignment horizontal="center" vertical="center"/>
    </xf>
    <xf numFmtId="0" fontId="4" fillId="0" borderId="0" xfId="3" applyFont="1" applyAlignment="1">
      <alignment vertical="center"/>
    </xf>
    <xf numFmtId="0" fontId="4" fillId="0" borderId="1" xfId="3" applyFont="1" applyBorder="1" applyAlignment="1">
      <alignment vertical="center"/>
    </xf>
    <xf numFmtId="0" fontId="4" fillId="0" borderId="0" xfId="3" applyFont="1" applyBorder="1"/>
    <xf numFmtId="4" fontId="4" fillId="0" borderId="1" xfId="3" applyNumberFormat="1" applyFont="1" applyBorder="1"/>
    <xf numFmtId="0" fontId="0" fillId="0" borderId="21" xfId="0" applyBorder="1"/>
    <xf numFmtId="0" fontId="0" fillId="0" borderId="0" xfId="0" applyBorder="1"/>
    <xf numFmtId="49" fontId="0" fillId="0" borderId="0" xfId="0" applyNumberFormat="1"/>
    <xf numFmtId="49" fontId="14" fillId="0" borderId="0" xfId="0" applyNumberFormat="1" applyFont="1"/>
    <xf numFmtId="0" fontId="7" fillId="0" borderId="0" xfId="0" applyNumberFormat="1" applyFont="1"/>
    <xf numFmtId="0" fontId="5" fillId="0" borderId="9" xfId="0" applyFont="1" applyBorder="1"/>
    <xf numFmtId="0" fontId="11" fillId="0" borderId="10" xfId="0" applyFont="1" applyBorder="1"/>
    <xf numFmtId="3" fontId="6" fillId="0" borderId="10" xfId="0" applyNumberFormat="1" applyFont="1" applyBorder="1"/>
    <xf numFmtId="0" fontId="6" fillId="0" borderId="10" xfId="0" applyFont="1" applyBorder="1"/>
    <xf numFmtId="0" fontId="5" fillId="0" borderId="10" xfId="0" applyFont="1" applyBorder="1"/>
    <xf numFmtId="3" fontId="5" fillId="0" borderId="10" xfId="0" applyNumberFormat="1" applyFont="1" applyBorder="1"/>
    <xf numFmtId="0" fontId="6" fillId="0" borderId="11" xfId="0" applyFont="1" applyBorder="1"/>
    <xf numFmtId="0" fontId="6" fillId="0" borderId="12" xfId="0" applyFont="1" applyBorder="1"/>
    <xf numFmtId="0" fontId="16" fillId="0" borderId="10" xfId="0" applyFont="1" applyBorder="1"/>
    <xf numFmtId="3" fontId="16" fillId="0" borderId="10" xfId="0" applyNumberFormat="1" applyFont="1" applyBorder="1"/>
    <xf numFmtId="0" fontId="16" fillId="0" borderId="0" xfId="0" applyFont="1"/>
    <xf numFmtId="170" fontId="5" fillId="0" borderId="13" xfId="0" applyNumberFormat="1" applyFont="1" applyBorder="1"/>
    <xf numFmtId="0" fontId="6" fillId="0" borderId="0" xfId="0" applyNumberFormat="1" applyFont="1"/>
    <xf numFmtId="0" fontId="5" fillId="0" borderId="14" xfId="0" applyFont="1" applyBorder="1"/>
    <xf numFmtId="0" fontId="5" fillId="0" borderId="15" xfId="0" applyFont="1" applyBorder="1"/>
    <xf numFmtId="0" fontId="7" fillId="0" borderId="0" xfId="0" applyFont="1"/>
    <xf numFmtId="171" fontId="6" fillId="0" borderId="0" xfId="0" applyNumberFormat="1" applyFont="1"/>
    <xf numFmtId="0" fontId="13" fillId="0" borderId="0" xfId="0" applyFont="1" applyAlignment="1">
      <alignment horizontal="center"/>
    </xf>
    <xf numFmtId="171" fontId="5" fillId="0" borderId="0" xfId="0" applyNumberFormat="1" applyFont="1"/>
    <xf numFmtId="0" fontId="4" fillId="0" borderId="0" xfId="0" applyFont="1"/>
    <xf numFmtId="0" fontId="21" fillId="0" borderId="0" xfId="0" applyFont="1" applyAlignment="1"/>
    <xf numFmtId="0" fontId="21" fillId="0" borderId="21" xfId="0" applyFont="1" applyBorder="1" applyAlignment="1"/>
    <xf numFmtId="0" fontId="4" fillId="0" borderId="1" xfId="3" applyFont="1" applyBorder="1" applyAlignment="1">
      <alignment horizontal="center" vertical="center"/>
    </xf>
    <xf numFmtId="0" fontId="3" fillId="0" borderId="0" xfId="3" applyFont="1" applyAlignment="1"/>
    <xf numFmtId="3" fontId="0" fillId="0" borderId="0" xfId="0" applyNumberFormat="1"/>
    <xf numFmtId="0" fontId="13" fillId="0" borderId="0" xfId="0" applyNumberFormat="1" applyFont="1" applyAlignment="1">
      <alignment horizontal="center"/>
    </xf>
    <xf numFmtId="171" fontId="5" fillId="0" borderId="0" xfId="0" applyNumberFormat="1" applyFont="1" applyFill="1"/>
    <xf numFmtId="0" fontId="5" fillId="0" borderId="0" xfId="0" applyFont="1" applyAlignment="1">
      <alignment vertical="justify" wrapText="1"/>
    </xf>
    <xf numFmtId="3" fontId="13" fillId="0" borderId="0" xfId="0" applyNumberFormat="1" applyFont="1" applyFill="1"/>
    <xf numFmtId="3" fontId="8" fillId="0" borderId="0" xfId="0" applyNumberFormat="1" applyFont="1" applyFill="1"/>
    <xf numFmtId="0" fontId="5" fillId="0" borderId="0" xfId="0" applyFont="1" applyAlignment="1">
      <alignment wrapText="1"/>
    </xf>
    <xf numFmtId="0" fontId="5" fillId="0" borderId="0" xfId="2" applyNumberFormat="1" applyFont="1"/>
    <xf numFmtId="0" fontId="5" fillId="0" borderId="0" xfId="4" applyNumberFormat="1" applyFont="1"/>
    <xf numFmtId="9" fontId="5" fillId="0" borderId="0" xfId="4" applyFont="1"/>
    <xf numFmtId="165" fontId="5" fillId="0" borderId="0" xfId="1" applyFont="1"/>
    <xf numFmtId="3" fontId="8" fillId="0" borderId="0" xfId="0" applyNumberFormat="1" applyFont="1"/>
    <xf numFmtId="3" fontId="13" fillId="0" borderId="0" xfId="0" applyNumberFormat="1" applyFont="1"/>
    <xf numFmtId="171" fontId="13" fillId="0" borderId="0" xfId="0" applyNumberFormat="1" applyFont="1"/>
    <xf numFmtId="3" fontId="17" fillId="0" borderId="0" xfId="0" applyNumberFormat="1" applyFont="1" applyAlignment="1">
      <alignment horizontal="right"/>
    </xf>
    <xf numFmtId="3" fontId="5" fillId="4" borderId="0" xfId="0" applyNumberFormat="1" applyFont="1" applyFill="1" applyBorder="1" applyProtection="1">
      <protection locked="0"/>
    </xf>
    <xf numFmtId="3" fontId="6" fillId="3" borderId="0" xfId="0" applyNumberFormat="1" applyFont="1" applyFill="1"/>
    <xf numFmtId="3" fontId="5" fillId="3" borderId="0" xfId="0" applyNumberFormat="1" applyFont="1" applyFill="1"/>
    <xf numFmtId="3" fontId="6" fillId="3" borderId="4" xfId="0" applyNumberFormat="1" applyFont="1" applyFill="1" applyBorder="1" applyProtection="1">
      <protection locked="0"/>
    </xf>
    <xf numFmtId="0" fontId="6" fillId="3" borderId="5" xfId="0" applyFont="1" applyFill="1" applyBorder="1" applyAlignment="1">
      <alignment horizontal="center"/>
    </xf>
    <xf numFmtId="3" fontId="6" fillId="3" borderId="0" xfId="0" applyNumberFormat="1" applyFont="1" applyFill="1" applyBorder="1" applyAlignment="1" applyProtection="1">
      <protection locked="0"/>
    </xf>
    <xf numFmtId="3" fontId="6" fillId="3" borderId="0" xfId="0" applyNumberFormat="1" applyFont="1" applyFill="1" applyBorder="1" applyProtection="1">
      <protection locked="0"/>
    </xf>
    <xf numFmtId="10" fontId="6" fillId="3" borderId="4" xfId="0" applyNumberFormat="1" applyFont="1" applyFill="1" applyBorder="1" applyProtection="1">
      <protection locked="0"/>
    </xf>
    <xf numFmtId="0" fontId="5" fillId="3" borderId="0" xfId="0" applyFont="1" applyFill="1" applyAlignment="1">
      <alignment horizontal="center"/>
    </xf>
    <xf numFmtId="17" fontId="5" fillId="3" borderId="0" xfId="0" applyNumberFormat="1" applyFont="1" applyFill="1" applyAlignment="1">
      <alignment horizontal="center"/>
    </xf>
    <xf numFmtId="0" fontId="6" fillId="3" borderId="0" xfId="0" applyFont="1" applyFill="1" applyAlignment="1">
      <alignment horizontal="center"/>
    </xf>
    <xf numFmtId="0" fontId="11" fillId="3" borderId="0" xfId="0" applyFont="1" applyFill="1" applyAlignment="1">
      <alignment horizontal="center"/>
    </xf>
    <xf numFmtId="168" fontId="6" fillId="3" borderId="8" xfId="4" applyNumberFormat="1" applyFont="1" applyFill="1" applyBorder="1"/>
    <xf numFmtId="4" fontId="3" fillId="3" borderId="1" xfId="3" applyNumberFormat="1" applyFont="1" applyFill="1" applyBorder="1" applyAlignment="1">
      <alignment horizontal="center" vertical="center" wrapText="1"/>
    </xf>
    <xf numFmtId="0" fontId="3" fillId="3" borderId="16" xfId="3" applyFont="1" applyFill="1" applyBorder="1" applyAlignment="1"/>
    <xf numFmtId="0" fontId="19" fillId="0" borderId="0" xfId="0" applyFont="1"/>
    <xf numFmtId="165" fontId="18" fillId="0" borderId="0" xfId="1" applyFont="1"/>
    <xf numFmtId="0" fontId="6" fillId="3" borderId="4" xfId="0" applyFont="1" applyFill="1" applyBorder="1" applyAlignment="1">
      <alignment horizontal="center"/>
    </xf>
    <xf numFmtId="165" fontId="16" fillId="0" borderId="0" xfId="1" applyFont="1"/>
    <xf numFmtId="165" fontId="6" fillId="0" borderId="0" xfId="1" applyFont="1"/>
    <xf numFmtId="3" fontId="3" fillId="3" borderId="4" xfId="0" applyNumberFormat="1" applyFont="1" applyFill="1" applyBorder="1" applyAlignment="1">
      <alignment horizontal="right"/>
    </xf>
    <xf numFmtId="0" fontId="13" fillId="3" borderId="4" xfId="0" applyFont="1" applyFill="1" applyBorder="1" applyAlignment="1">
      <alignment horizontal="center"/>
    </xf>
    <xf numFmtId="3" fontId="13" fillId="3" borderId="4" xfId="0" applyNumberFormat="1" applyFont="1" applyFill="1" applyBorder="1" applyAlignment="1">
      <alignment horizontal="right"/>
    </xf>
    <xf numFmtId="166" fontId="5" fillId="0" borderId="0" xfId="0" applyNumberFormat="1" applyFont="1" applyFill="1" applyBorder="1" applyProtection="1">
      <protection locked="0"/>
    </xf>
    <xf numFmtId="0" fontId="10" fillId="3" borderId="4" xfId="0" applyFont="1" applyFill="1" applyBorder="1" applyAlignment="1">
      <alignment horizontal="center"/>
    </xf>
    <xf numFmtId="3" fontId="6" fillId="3" borderId="4" xfId="0" applyNumberFormat="1" applyFont="1" applyFill="1" applyBorder="1"/>
    <xf numFmtId="3" fontId="4" fillId="5" borderId="0" xfId="0" applyNumberFormat="1" applyFont="1" applyFill="1"/>
    <xf numFmtId="0" fontId="27" fillId="0" borderId="0" xfId="0" applyFont="1" applyAlignment="1"/>
    <xf numFmtId="167" fontId="27" fillId="3" borderId="32" xfId="1" applyNumberFormat="1" applyFont="1" applyFill="1" applyBorder="1"/>
    <xf numFmtId="0" fontId="26" fillId="0" borderId="0" xfId="0" applyFont="1" applyAlignment="1"/>
    <xf numFmtId="0" fontId="27" fillId="4" borderId="0" xfId="0" applyFont="1" applyFill="1" applyAlignment="1">
      <alignment horizontal="center"/>
    </xf>
    <xf numFmtId="0" fontId="27" fillId="4" borderId="0" xfId="0" applyFont="1" applyFill="1" applyAlignment="1">
      <alignment horizontal="center" vertical="center" wrapText="1"/>
    </xf>
    <xf numFmtId="49" fontId="26" fillId="0" borderId="0" xfId="0" applyNumberFormat="1" applyFont="1" applyAlignment="1">
      <alignment horizontal="center"/>
    </xf>
    <xf numFmtId="49" fontId="27" fillId="0" borderId="37" xfId="0" applyNumberFormat="1" applyFont="1" applyBorder="1" applyAlignment="1">
      <alignment horizontal="center"/>
    </xf>
    <xf numFmtId="0" fontId="27" fillId="4" borderId="38" xfId="0" applyFont="1" applyFill="1" applyBorder="1" applyAlignment="1"/>
    <xf numFmtId="167" fontId="27" fillId="4" borderId="40" xfId="0" applyNumberFormat="1" applyFont="1" applyFill="1" applyBorder="1" applyAlignment="1"/>
    <xf numFmtId="0" fontId="27" fillId="0" borderId="37" xfId="0" applyFont="1" applyBorder="1"/>
    <xf numFmtId="167" fontId="27" fillId="4" borderId="37" xfId="1" applyNumberFormat="1" applyFont="1" applyFill="1" applyBorder="1"/>
    <xf numFmtId="167" fontId="27" fillId="0" borderId="37" xfId="1" applyNumberFormat="1" applyFont="1" applyBorder="1"/>
    <xf numFmtId="167" fontId="27" fillId="0" borderId="0" xfId="0" applyNumberFormat="1" applyFont="1"/>
    <xf numFmtId="49" fontId="32" fillId="0" borderId="37" xfId="0" applyNumberFormat="1" applyFont="1" applyBorder="1" applyAlignment="1">
      <alignment horizontal="center"/>
    </xf>
    <xf numFmtId="167" fontId="26" fillId="4" borderId="37" xfId="1" applyNumberFormat="1" applyFont="1" applyFill="1" applyBorder="1"/>
    <xf numFmtId="167" fontId="32" fillId="0" borderId="0" xfId="0" applyNumberFormat="1" applyFont="1"/>
    <xf numFmtId="0" fontId="32" fillId="0" borderId="0" xfId="0" applyFont="1"/>
    <xf numFmtId="0" fontId="27" fillId="4" borderId="41" xfId="0" applyFont="1" applyFill="1" applyBorder="1" applyAlignment="1">
      <alignment horizontal="center"/>
    </xf>
    <xf numFmtId="167" fontId="27" fillId="4" borderId="41" xfId="0" applyNumberFormat="1" applyFont="1" applyFill="1" applyBorder="1" applyAlignment="1"/>
    <xf numFmtId="0" fontId="21" fillId="2" borderId="0" xfId="0" applyFont="1" applyFill="1" applyAlignment="1">
      <alignment vertical="center"/>
    </xf>
    <xf numFmtId="0" fontId="21" fillId="2" borderId="0" xfId="0" applyFont="1" applyFill="1" applyBorder="1" applyAlignment="1">
      <alignment vertical="center"/>
    </xf>
    <xf numFmtId="0" fontId="21" fillId="2" borderId="0" xfId="0" applyFont="1" applyFill="1"/>
    <xf numFmtId="169" fontId="35" fillId="0" borderId="0" xfId="0" applyNumberFormat="1" applyFont="1" applyBorder="1" applyAlignment="1">
      <alignment horizontal="center" vertical="center"/>
    </xf>
    <xf numFmtId="4" fontId="21" fillId="2" borderId="0" xfId="0" applyNumberFormat="1" applyFont="1" applyFill="1" applyAlignment="1">
      <alignment vertical="center"/>
    </xf>
    <xf numFmtId="0" fontId="0" fillId="0" borderId="0" xfId="0" applyNumberFormat="1"/>
    <xf numFmtId="0" fontId="36"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37" fillId="3" borderId="45" xfId="0" applyFont="1" applyFill="1" applyBorder="1" applyAlignment="1">
      <alignment horizontal="center" vertical="center"/>
    </xf>
    <xf numFmtId="3" fontId="37" fillId="3" borderId="45" xfId="0" applyNumberFormat="1" applyFont="1" applyFill="1" applyBorder="1" applyAlignment="1">
      <alignment vertical="center"/>
    </xf>
    <xf numFmtId="0" fontId="38" fillId="0" borderId="45" xfId="0" applyFont="1" applyFill="1" applyBorder="1" applyAlignment="1">
      <alignment horizontal="center" vertical="center"/>
    </xf>
    <xf numFmtId="0" fontId="38" fillId="0" borderId="45" xfId="0" applyFont="1" applyFill="1" applyBorder="1" applyAlignment="1">
      <alignment vertical="center"/>
    </xf>
    <xf numFmtId="0" fontId="39" fillId="0" borderId="45" xfId="0" applyFont="1" applyFill="1" applyBorder="1" applyAlignment="1">
      <alignment horizontal="center" vertical="center"/>
    </xf>
    <xf numFmtId="0" fontId="39" fillId="0" borderId="45" xfId="0" applyFont="1" applyFill="1" applyBorder="1" applyAlignment="1">
      <alignment vertical="center"/>
    </xf>
    <xf numFmtId="3" fontId="39" fillId="0" borderId="45" xfId="2" applyNumberFormat="1" applyFont="1" applyFill="1" applyBorder="1" applyAlignment="1">
      <alignment vertical="center"/>
    </xf>
    <xf numFmtId="3" fontId="38" fillId="0" borderId="45" xfId="2" applyNumberFormat="1" applyFont="1" applyFill="1" applyBorder="1" applyAlignment="1">
      <alignment vertical="center"/>
    </xf>
    <xf numFmtId="3" fontId="38" fillId="0" borderId="45" xfId="0" applyNumberFormat="1" applyFont="1" applyFill="1" applyBorder="1" applyAlignment="1">
      <alignment vertical="center"/>
    </xf>
    <xf numFmtId="3" fontId="39" fillId="0" borderId="45" xfId="0" applyNumberFormat="1" applyFont="1" applyFill="1" applyBorder="1" applyAlignment="1">
      <alignment vertical="center"/>
    </xf>
    <xf numFmtId="0" fontId="36" fillId="2" borderId="46" xfId="0" applyFont="1" applyFill="1" applyBorder="1"/>
    <xf numFmtId="0" fontId="21" fillId="2" borderId="46" xfId="0" applyFont="1" applyFill="1" applyBorder="1"/>
    <xf numFmtId="171" fontId="38" fillId="2" borderId="45" xfId="2" applyNumberFormat="1" applyFont="1" applyFill="1" applyBorder="1" applyAlignment="1">
      <alignment vertical="center"/>
    </xf>
    <xf numFmtId="3" fontId="38" fillId="2" borderId="45" xfId="2" applyNumberFormat="1" applyFont="1" applyFill="1" applyBorder="1" applyAlignment="1">
      <alignment vertical="center"/>
    </xf>
    <xf numFmtId="171" fontId="40" fillId="2" borderId="45" xfId="0" applyNumberFormat="1" applyFont="1" applyFill="1" applyBorder="1" applyAlignment="1">
      <alignment vertical="center"/>
    </xf>
    <xf numFmtId="3" fontId="40" fillId="2" borderId="45" xfId="0" applyNumberFormat="1" applyFont="1" applyFill="1" applyBorder="1" applyAlignment="1">
      <alignment vertical="center"/>
    </xf>
    <xf numFmtId="0" fontId="34" fillId="2" borderId="44" xfId="0" applyFont="1" applyFill="1" applyBorder="1" applyAlignment="1">
      <alignment horizontal="center" vertical="center"/>
    </xf>
    <xf numFmtId="0" fontId="41" fillId="6" borderId="45" xfId="0" applyFont="1" applyFill="1" applyBorder="1" applyAlignment="1">
      <alignment horizontal="center" vertical="center"/>
    </xf>
    <xf numFmtId="167" fontId="41" fillId="6" borderId="45" xfId="1" applyNumberFormat="1" applyFont="1" applyFill="1" applyBorder="1" applyAlignment="1">
      <alignment vertical="center"/>
    </xf>
    <xf numFmtId="0" fontId="42" fillId="2" borderId="47" xfId="0" applyFont="1" applyFill="1" applyBorder="1"/>
    <xf numFmtId="0" fontId="33" fillId="2" borderId="48" xfId="0" applyFont="1" applyFill="1" applyBorder="1"/>
    <xf numFmtId="0" fontId="33" fillId="2" borderId="49" xfId="0" applyFont="1" applyFill="1" applyBorder="1"/>
    <xf numFmtId="0" fontId="42" fillId="2" borderId="50" xfId="0" applyFont="1" applyFill="1" applyBorder="1"/>
    <xf numFmtId="0" fontId="33" fillId="2" borderId="46" xfId="0" applyFont="1" applyFill="1" applyBorder="1"/>
    <xf numFmtId="0" fontId="33" fillId="2" borderId="51" xfId="0" applyFont="1" applyFill="1" applyBorder="1"/>
    <xf numFmtId="0" fontId="33" fillId="2" borderId="47" xfId="0" applyFont="1" applyFill="1" applyBorder="1"/>
    <xf numFmtId="0" fontId="21" fillId="2" borderId="48" xfId="0" applyFont="1" applyFill="1" applyBorder="1"/>
    <xf numFmtId="0" fontId="33" fillId="2" borderId="50" xfId="0" applyFont="1" applyFill="1" applyBorder="1"/>
    <xf numFmtId="0" fontId="22" fillId="0" borderId="0" xfId="0" applyFont="1" applyAlignment="1">
      <alignment horizontal="center"/>
    </xf>
    <xf numFmtId="3" fontId="26" fillId="0" borderId="0" xfId="0" applyNumberFormat="1" applyFont="1"/>
    <xf numFmtId="167" fontId="31" fillId="0" borderId="0" xfId="0" applyNumberFormat="1" applyFont="1"/>
    <xf numFmtId="0" fontId="31" fillId="0" borderId="0" xfId="0" applyFont="1"/>
    <xf numFmtId="165" fontId="0" fillId="0" borderId="0" xfId="1" applyFont="1"/>
    <xf numFmtId="9" fontId="24" fillId="0" borderId="0" xfId="4" applyFont="1"/>
    <xf numFmtId="165" fontId="26" fillId="0" borderId="0" xfId="1" applyFont="1"/>
    <xf numFmtId="166" fontId="26" fillId="0" borderId="0" xfId="0" applyNumberFormat="1" applyFont="1"/>
    <xf numFmtId="0" fontId="39" fillId="0" borderId="54" xfId="0" applyFont="1" applyFill="1" applyBorder="1" applyAlignment="1">
      <alignment vertical="center"/>
    </xf>
    <xf numFmtId="3" fontId="39" fillId="0" borderId="54" xfId="2" applyNumberFormat="1" applyFont="1" applyFill="1" applyBorder="1" applyAlignment="1">
      <alignment vertical="center"/>
    </xf>
    <xf numFmtId="3" fontId="38" fillId="0" borderId="54" xfId="2" applyNumberFormat="1" applyFont="1" applyFill="1" applyBorder="1" applyAlignment="1">
      <alignment vertical="center"/>
    </xf>
    <xf numFmtId="0" fontId="38" fillId="0" borderId="56" xfId="0" applyFont="1" applyFill="1" applyBorder="1" applyAlignment="1">
      <alignment horizontal="center" vertical="center"/>
    </xf>
    <xf numFmtId="3" fontId="38" fillId="0" borderId="56" xfId="2" applyNumberFormat="1" applyFont="1" applyFill="1" applyBorder="1" applyAlignment="1">
      <alignment vertical="center"/>
    </xf>
    <xf numFmtId="9" fontId="5" fillId="5" borderId="3" xfId="4" applyNumberFormat="1" applyFont="1" applyFill="1" applyBorder="1"/>
    <xf numFmtId="9" fontId="5" fillId="5" borderId="17" xfId="4" applyNumberFormat="1" applyFont="1" applyFill="1" applyBorder="1"/>
    <xf numFmtId="9" fontId="5" fillId="5" borderId="1" xfId="0" applyNumberFormat="1" applyFont="1" applyFill="1" applyBorder="1"/>
    <xf numFmtId="9" fontId="5" fillId="5" borderId="18" xfId="0" applyNumberFormat="1" applyFont="1" applyFill="1" applyBorder="1"/>
    <xf numFmtId="0" fontId="38" fillId="0" borderId="0" xfId="0" applyFont="1" applyAlignment="1" applyProtection="1"/>
    <xf numFmtId="0" fontId="38" fillId="0" borderId="0" xfId="0" applyFont="1" applyAlignment="1" applyProtection="1">
      <alignment horizontal="right"/>
    </xf>
    <xf numFmtId="0" fontId="40" fillId="0" borderId="0" xfId="5" applyFont="1" applyAlignment="1" applyProtection="1">
      <alignment horizontal="center"/>
    </xf>
    <xf numFmtId="0" fontId="21" fillId="0" borderId="0" xfId="5" applyFont="1" applyProtection="1"/>
    <xf numFmtId="0" fontId="49" fillId="0" borderId="0" xfId="0" applyFont="1" applyAlignment="1" applyProtection="1">
      <alignment horizontal="center"/>
    </xf>
    <xf numFmtId="0" fontId="21" fillId="0" borderId="59" xfId="0" applyFont="1" applyBorder="1" applyProtection="1"/>
    <xf numFmtId="0" fontId="38" fillId="7" borderId="59" xfId="6" applyFont="1" applyFill="1" applyBorder="1" applyAlignment="1" applyProtection="1">
      <alignment horizontal="center"/>
    </xf>
    <xf numFmtId="0" fontId="39" fillId="0" borderId="0" xfId="6" applyFont="1" applyProtection="1"/>
    <xf numFmtId="0" fontId="39" fillId="0" borderId="0" xfId="6" applyFont="1" applyAlignment="1" applyProtection="1">
      <alignment horizontal="center"/>
    </xf>
    <xf numFmtId="9" fontId="39" fillId="0" borderId="0" xfId="4" applyFont="1" applyProtection="1"/>
    <xf numFmtId="0" fontId="39" fillId="0" borderId="0" xfId="6" applyFont="1" applyFill="1" applyAlignment="1" applyProtection="1">
      <alignment horizontal="center"/>
    </xf>
    <xf numFmtId="0" fontId="39" fillId="0" borderId="0" xfId="6" applyFont="1" applyFill="1" applyProtection="1"/>
    <xf numFmtId="9" fontId="39" fillId="0" borderId="0" xfId="4" applyFont="1" applyFill="1" applyProtection="1"/>
    <xf numFmtId="0" fontId="39" fillId="7" borderId="0" xfId="6" applyFont="1" applyFill="1" applyAlignment="1" applyProtection="1">
      <alignment horizontal="center"/>
    </xf>
    <xf numFmtId="0" fontId="39" fillId="7" borderId="0" xfId="6" applyFont="1" applyFill="1" applyBorder="1" applyProtection="1"/>
    <xf numFmtId="0" fontId="39" fillId="7" borderId="0" xfId="6" applyFont="1" applyFill="1" applyProtection="1"/>
    <xf numFmtId="0" fontId="39" fillId="0" borderId="59" xfId="6" applyFont="1" applyBorder="1" applyAlignment="1" applyProtection="1">
      <alignment horizontal="center"/>
    </xf>
    <xf numFmtId="0" fontId="39" fillId="0" borderId="59" xfId="6" applyFont="1" applyBorder="1" applyProtection="1"/>
    <xf numFmtId="0" fontId="21" fillId="0" borderId="0" xfId="0" applyFont="1" applyBorder="1" applyProtection="1"/>
    <xf numFmtId="165" fontId="21" fillId="0" borderId="0" xfId="1" applyFont="1" applyBorder="1" applyProtection="1"/>
    <xf numFmtId="165" fontId="21" fillId="0" borderId="0" xfId="1" applyFont="1" applyBorder="1"/>
    <xf numFmtId="0" fontId="21" fillId="0" borderId="0" xfId="6" applyFont="1" applyAlignment="1">
      <alignment horizontal="left"/>
    </xf>
    <xf numFmtId="0" fontId="39" fillId="0" borderId="0" xfId="6" applyFont="1"/>
    <xf numFmtId="0" fontId="21" fillId="0" borderId="0" xfId="6" applyFont="1" applyAlignment="1"/>
    <xf numFmtId="0" fontId="23" fillId="0" borderId="0" xfId="0" applyFont="1" applyFill="1" applyBorder="1"/>
    <xf numFmtId="0" fontId="33" fillId="2" borderId="54" xfId="0" applyFont="1" applyFill="1" applyBorder="1" applyAlignment="1">
      <alignment horizontal="center" vertical="center"/>
    </xf>
    <xf numFmtId="0" fontId="33" fillId="2" borderId="56" xfId="0" applyFont="1" applyFill="1" applyBorder="1" applyAlignment="1">
      <alignment horizontal="center" vertical="center"/>
    </xf>
    <xf numFmtId="0" fontId="34" fillId="2" borderId="54" xfId="0" applyFont="1" applyFill="1" applyBorder="1" applyAlignment="1">
      <alignment horizontal="center" vertical="center"/>
    </xf>
    <xf numFmtId="0" fontId="38" fillId="0" borderId="45" xfId="0" applyFont="1" applyFill="1" applyBorder="1" applyAlignment="1">
      <alignment horizontal="right" vertical="center"/>
    </xf>
    <xf numFmtId="0" fontId="21" fillId="2" borderId="54" xfId="0" applyFont="1" applyFill="1" applyBorder="1" applyAlignment="1">
      <alignment horizontal="center" vertical="center"/>
    </xf>
    <xf numFmtId="0" fontId="21" fillId="2" borderId="56" xfId="0" applyFont="1" applyFill="1" applyBorder="1" applyAlignment="1">
      <alignment horizontal="center" vertical="center"/>
    </xf>
    <xf numFmtId="0" fontId="21" fillId="2" borderId="56" xfId="0" applyFont="1" applyFill="1" applyBorder="1" applyAlignment="1">
      <alignment vertical="center"/>
    </xf>
    <xf numFmtId="0" fontId="21" fillId="0" borderId="54" xfId="0" applyFont="1" applyFill="1" applyBorder="1" applyAlignment="1">
      <alignment horizontal="center" vertical="center"/>
    </xf>
    <xf numFmtId="0" fontId="34" fillId="0" borderId="54" xfId="0" applyFont="1" applyFill="1" applyBorder="1" applyAlignment="1">
      <alignment horizontal="center" vertical="center"/>
    </xf>
    <xf numFmtId="0" fontId="21" fillId="0" borderId="56" xfId="0" applyFont="1" applyFill="1" applyBorder="1" applyAlignment="1">
      <alignment horizontal="center" vertical="center"/>
    </xf>
    <xf numFmtId="0" fontId="34" fillId="0" borderId="56" xfId="0" applyFont="1" applyFill="1" applyBorder="1" applyAlignment="1">
      <alignment horizontal="center" vertical="center"/>
    </xf>
    <xf numFmtId="0" fontId="34" fillId="2" borderId="51" xfId="0" applyFont="1" applyFill="1" applyBorder="1" applyAlignment="1">
      <alignment horizontal="center" vertical="center"/>
    </xf>
    <xf numFmtId="3" fontId="43" fillId="0" borderId="56" xfId="2" applyNumberFormat="1" applyFont="1" applyFill="1" applyBorder="1" applyAlignment="1">
      <alignment horizontal="center" vertical="center"/>
    </xf>
    <xf numFmtId="3" fontId="44" fillId="0" borderId="56" xfId="2" applyNumberFormat="1" applyFont="1" applyFill="1" applyBorder="1" applyAlignment="1">
      <alignment horizontal="center" vertical="center"/>
    </xf>
    <xf numFmtId="165" fontId="24" fillId="0" borderId="0" xfId="1" applyFont="1"/>
    <xf numFmtId="0" fontId="13" fillId="0" borderId="0" xfId="0" applyFont="1" applyAlignment="1">
      <alignment horizontal="center"/>
    </xf>
    <xf numFmtId="0" fontId="20" fillId="0" borderId="0" xfId="0" applyFont="1" applyAlignment="1">
      <alignment horizontal="center"/>
    </xf>
    <xf numFmtId="167" fontId="0" fillId="0" borderId="37" xfId="1" applyNumberFormat="1" applyFont="1" applyBorder="1"/>
    <xf numFmtId="0" fontId="23" fillId="4" borderId="0" xfId="0" applyFont="1" applyFill="1" applyAlignment="1">
      <alignment horizontal="center"/>
    </xf>
    <xf numFmtId="0" fontId="5" fillId="0" borderId="0" xfId="0" applyFont="1" applyFill="1" applyBorder="1" applyAlignment="1">
      <alignment horizontal="left" vertical="distributed" wrapText="1"/>
    </xf>
    <xf numFmtId="167" fontId="0" fillId="0" borderId="0" xfId="1" applyNumberFormat="1" applyFont="1"/>
    <xf numFmtId="168" fontId="6" fillId="5" borderId="1" xfId="0" applyNumberFormat="1" applyFont="1" applyFill="1" applyBorder="1"/>
    <xf numFmtId="164" fontId="6" fillId="5" borderId="1" xfId="2" applyFont="1" applyFill="1" applyBorder="1"/>
    <xf numFmtId="164" fontId="6" fillId="5" borderId="18" xfId="2" applyFont="1" applyFill="1" applyBorder="1"/>
    <xf numFmtId="168" fontId="6" fillId="5" borderId="18" xfId="0" applyNumberFormat="1" applyFont="1" applyFill="1" applyBorder="1"/>
    <xf numFmtId="4" fontId="5" fillId="0" borderId="0" xfId="0" applyNumberFormat="1" applyFont="1"/>
    <xf numFmtId="0" fontId="39" fillId="0" borderId="54" xfId="0" applyFont="1" applyFill="1" applyBorder="1" applyAlignment="1">
      <alignment horizontal="left" vertical="center" wrapText="1"/>
    </xf>
    <xf numFmtId="0" fontId="0" fillId="0" borderId="52" xfId="0" applyBorder="1" applyAlignment="1">
      <alignment horizontal="left" vertical="distributed" wrapText="1"/>
    </xf>
    <xf numFmtId="0" fontId="20" fillId="3" borderId="34" xfId="0" applyFont="1" applyFill="1" applyBorder="1" applyAlignment="1">
      <alignment horizontal="center"/>
    </xf>
    <xf numFmtId="0" fontId="23" fillId="0" borderId="64" xfId="0" applyFont="1" applyBorder="1" applyAlignment="1">
      <alignment horizontal="center"/>
    </xf>
    <xf numFmtId="0" fontId="23" fillId="0" borderId="64" xfId="0" applyFont="1" applyBorder="1" applyAlignment="1"/>
    <xf numFmtId="0" fontId="31" fillId="0" borderId="64" xfId="0" applyFont="1" applyBorder="1" applyAlignment="1">
      <alignment horizontal="center"/>
    </xf>
    <xf numFmtId="3" fontId="0" fillId="0" borderId="64" xfId="0" applyNumberFormat="1" applyBorder="1"/>
    <xf numFmtId="3" fontId="20" fillId="3" borderId="64" xfId="0" applyNumberFormat="1" applyFont="1" applyFill="1" applyBorder="1"/>
    <xf numFmtId="0" fontId="0" fillId="0" borderId="67" xfId="0" applyBorder="1"/>
    <xf numFmtId="3" fontId="0" fillId="0" borderId="67" xfId="0" applyNumberFormat="1" applyFill="1" applyBorder="1"/>
    <xf numFmtId="0" fontId="19" fillId="0" borderId="0" xfId="0" applyFont="1" applyAlignment="1">
      <alignment horizontal="left" indent="5"/>
    </xf>
    <xf numFmtId="0" fontId="4" fillId="0" borderId="1" xfId="3" applyFont="1" applyBorder="1" applyAlignment="1">
      <alignment horizontal="left" vertical="center" wrapText="1"/>
    </xf>
    <xf numFmtId="10" fontId="26" fillId="0" borderId="0" xfId="0" applyNumberFormat="1" applyFont="1"/>
    <xf numFmtId="9" fontId="0" fillId="0" borderId="0" xfId="4" applyFont="1"/>
    <xf numFmtId="167" fontId="22" fillId="4" borderId="37" xfId="1" applyNumberFormat="1" applyFont="1" applyFill="1" applyBorder="1"/>
    <xf numFmtId="3" fontId="6" fillId="0" borderId="10" xfId="0" applyNumberFormat="1" applyFont="1" applyBorder="1" applyAlignment="1">
      <alignment horizontal="right"/>
    </xf>
    <xf numFmtId="10" fontId="6" fillId="3" borderId="4" xfId="0" applyNumberFormat="1" applyFont="1" applyFill="1" applyBorder="1" applyAlignment="1" applyProtection="1">
      <alignment horizontal="right"/>
      <protection locked="0"/>
    </xf>
    <xf numFmtId="0" fontId="45" fillId="0" borderId="0" xfId="0" applyFont="1" applyAlignment="1">
      <alignment horizontal="center"/>
    </xf>
    <xf numFmtId="0" fontId="20" fillId="0" borderId="0" xfId="0" applyFont="1" applyAlignment="1">
      <alignment horizontal="center"/>
    </xf>
    <xf numFmtId="0" fontId="27" fillId="0" borderId="0" xfId="0" applyFont="1" applyAlignment="1">
      <alignment horizontal="center"/>
    </xf>
    <xf numFmtId="0" fontId="27" fillId="3" borderId="0" xfId="0" applyFont="1" applyFill="1" applyAlignment="1">
      <alignment horizontal="center"/>
    </xf>
    <xf numFmtId="0" fontId="27" fillId="3" borderId="0" xfId="0" applyFont="1" applyFill="1" applyAlignment="1">
      <alignment horizontal="center" vertical="center" wrapText="1"/>
    </xf>
    <xf numFmtId="0" fontId="27" fillId="3" borderId="52" xfId="0" applyFont="1" applyFill="1" applyBorder="1" applyAlignment="1">
      <alignment horizontal="center" vertical="center" wrapText="1"/>
    </xf>
    <xf numFmtId="0" fontId="22" fillId="4" borderId="0" xfId="0" applyFont="1" applyFill="1" applyAlignment="1">
      <alignment horizontal="center"/>
    </xf>
    <xf numFmtId="0" fontId="22" fillId="0" borderId="0" xfId="0" applyFont="1" applyAlignment="1">
      <alignment horizontal="center"/>
    </xf>
    <xf numFmtId="0" fontId="21" fillId="0" borderId="0" xfId="0" applyFont="1" applyAlignment="1">
      <alignment vertical="center"/>
    </xf>
    <xf numFmtId="0" fontId="21" fillId="0" borderId="21" xfId="0" applyFont="1" applyBorder="1" applyAlignment="1">
      <alignment vertical="center"/>
    </xf>
    <xf numFmtId="0" fontId="20" fillId="4" borderId="38" xfId="0" applyFont="1" applyFill="1" applyBorder="1" applyAlignment="1">
      <alignment horizontal="left"/>
    </xf>
    <xf numFmtId="0" fontId="20" fillId="4" borderId="40" xfId="0" applyFont="1" applyFill="1" applyBorder="1" applyAlignment="1">
      <alignment horizontal="left"/>
    </xf>
    <xf numFmtId="49" fontId="22" fillId="4" borderId="0" xfId="0" applyNumberFormat="1" applyFont="1" applyFill="1" applyAlignment="1">
      <alignment horizontal="center"/>
    </xf>
    <xf numFmtId="0" fontId="20" fillId="4" borderId="53" xfId="0" applyFont="1" applyFill="1" applyBorder="1" applyAlignment="1">
      <alignment horizontal="center"/>
    </xf>
    <xf numFmtId="0" fontId="20" fillId="4" borderId="41" xfId="0" applyFont="1" applyFill="1" applyBorder="1" applyAlignment="1">
      <alignment horizontal="center"/>
    </xf>
    <xf numFmtId="0" fontId="27" fillId="4" borderId="53" xfId="0" applyFont="1" applyFill="1" applyBorder="1" applyAlignment="1">
      <alignment horizontal="center"/>
    </xf>
    <xf numFmtId="0" fontId="27" fillId="4" borderId="41" xfId="0" applyFont="1" applyFill="1" applyBorder="1" applyAlignment="1">
      <alignment horizontal="center"/>
    </xf>
    <xf numFmtId="49" fontId="27" fillId="4" borderId="0" xfId="0" applyNumberFormat="1" applyFont="1" applyFill="1" applyAlignment="1">
      <alignment horizontal="center"/>
    </xf>
    <xf numFmtId="0" fontId="38" fillId="0" borderId="0" xfId="0" applyFont="1" applyAlignment="1" applyProtection="1">
      <alignment horizontal="center"/>
    </xf>
    <xf numFmtId="0" fontId="40" fillId="0" borderId="0" xfId="5" applyFont="1" applyAlignment="1" applyProtection="1">
      <alignment horizontal="center"/>
    </xf>
    <xf numFmtId="0" fontId="5" fillId="0" borderId="0" xfId="0" applyFont="1" applyFill="1" applyBorder="1" applyAlignment="1">
      <alignment horizontal="distributed" vertical="distributed" wrapText="1"/>
    </xf>
    <xf numFmtId="0" fontId="5" fillId="0" borderId="0" xfId="0" applyFont="1" applyFill="1" applyBorder="1" applyAlignment="1">
      <alignment horizontal="left" vertical="distributed" wrapText="1"/>
    </xf>
    <xf numFmtId="0" fontId="5" fillId="0" borderId="0" xfId="0" applyFont="1" applyFill="1" applyBorder="1" applyAlignment="1">
      <alignment horizontal="right" wrapText="1"/>
    </xf>
    <xf numFmtId="0" fontId="9" fillId="0"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3" fillId="0" borderId="0" xfId="0" applyFont="1" applyAlignment="1">
      <alignment horizontal="center"/>
    </xf>
    <xf numFmtId="0" fontId="6" fillId="3" borderId="0" xfId="0" applyFont="1" applyFill="1" applyAlignment="1">
      <alignment horizontal="center" vertical="distributed" wrapText="1"/>
    </xf>
    <xf numFmtId="0" fontId="48" fillId="0" borderId="50" xfId="0" applyFont="1" applyFill="1" applyBorder="1" applyAlignment="1">
      <alignment horizontal="center" vertical="center"/>
    </xf>
    <xf numFmtId="0" fontId="48" fillId="0" borderId="46" xfId="0" applyFont="1" applyFill="1" applyBorder="1" applyAlignment="1">
      <alignment horizontal="center" vertical="center"/>
    </xf>
    <xf numFmtId="0" fontId="48" fillId="0" borderId="51" xfId="0" applyFont="1" applyFill="1" applyBorder="1" applyAlignment="1">
      <alignment horizontal="center" vertical="center"/>
    </xf>
    <xf numFmtId="0" fontId="48" fillId="0" borderId="42" xfId="0" applyFont="1" applyFill="1" applyBorder="1" applyAlignment="1">
      <alignment horizontal="center" vertical="center"/>
    </xf>
    <xf numFmtId="0" fontId="48" fillId="0" borderId="43" xfId="0" applyFont="1" applyFill="1" applyBorder="1" applyAlignment="1">
      <alignment horizontal="center" vertical="center"/>
    </xf>
    <xf numFmtId="0" fontId="48" fillId="0" borderId="44" xfId="0" applyFont="1" applyFill="1" applyBorder="1" applyAlignment="1">
      <alignment horizontal="center" vertical="center"/>
    </xf>
    <xf numFmtId="0" fontId="21" fillId="2" borderId="20" xfId="0" applyFont="1" applyFill="1" applyBorder="1" applyAlignment="1">
      <alignment horizontal="left" vertical="center"/>
    </xf>
    <xf numFmtId="0" fontId="21" fillId="2" borderId="0" xfId="0" applyFont="1" applyFill="1" applyBorder="1" applyAlignment="1"/>
    <xf numFmtId="0" fontId="21" fillId="2" borderId="20" xfId="0" applyFont="1" applyFill="1" applyBorder="1" applyAlignment="1"/>
    <xf numFmtId="0" fontId="21" fillId="2" borderId="45" xfId="0" applyFont="1" applyFill="1" applyBorder="1" applyAlignment="1">
      <alignment horizontal="center" vertical="center"/>
    </xf>
    <xf numFmtId="0" fontId="21" fillId="0" borderId="45" xfId="0" applyFont="1" applyBorder="1" applyAlignment="1">
      <alignment horizontal="center" vertical="center"/>
    </xf>
    <xf numFmtId="0" fontId="21" fillId="0" borderId="45" xfId="0" applyFont="1" applyFill="1" applyBorder="1" applyAlignment="1">
      <alignment horizontal="left" vertical="center"/>
    </xf>
    <xf numFmtId="0" fontId="21" fillId="0" borderId="45" xfId="0" applyFont="1" applyFill="1" applyBorder="1" applyAlignment="1">
      <alignment vertical="center"/>
    </xf>
    <xf numFmtId="0" fontId="21" fillId="0" borderId="45" xfId="0" applyFont="1" applyFill="1" applyBorder="1" applyAlignment="1">
      <alignment horizontal="center" vertical="center"/>
    </xf>
    <xf numFmtId="0" fontId="37" fillId="0" borderId="54" xfId="0" applyFont="1" applyFill="1" applyBorder="1" applyAlignment="1">
      <alignment horizontal="center" vertical="center" textRotation="90"/>
    </xf>
    <xf numFmtId="0" fontId="37" fillId="0" borderId="55" xfId="0" applyFont="1" applyFill="1" applyBorder="1" applyAlignment="1">
      <alignment horizontal="center" vertical="center" textRotation="90"/>
    </xf>
    <xf numFmtId="0" fontId="37" fillId="0" borderId="56" xfId="0" applyFont="1" applyFill="1" applyBorder="1" applyAlignment="1">
      <alignment horizontal="center" vertical="center" textRotation="90"/>
    </xf>
    <xf numFmtId="0" fontId="37" fillId="0" borderId="57" xfId="0" applyFont="1" applyFill="1" applyBorder="1" applyAlignment="1">
      <alignment horizontal="center" vertical="center" textRotation="90"/>
    </xf>
    <xf numFmtId="0" fontId="41" fillId="2" borderId="54" xfId="0" applyFont="1" applyFill="1" applyBorder="1" applyAlignment="1">
      <alignment horizontal="center" vertical="center" textRotation="90" wrapText="1"/>
    </xf>
    <xf numFmtId="0" fontId="41" fillId="2" borderId="55" xfId="0" applyFont="1" applyFill="1" applyBorder="1" applyAlignment="1">
      <alignment horizontal="center" vertical="center" textRotation="90" wrapText="1"/>
    </xf>
    <xf numFmtId="0" fontId="41" fillId="2" borderId="56" xfId="0" applyFont="1" applyFill="1" applyBorder="1" applyAlignment="1">
      <alignment horizontal="center" vertical="center" textRotation="90" wrapText="1"/>
    </xf>
    <xf numFmtId="0" fontId="46" fillId="2" borderId="54" xfId="0" applyFont="1" applyFill="1" applyBorder="1" applyAlignment="1">
      <alignment horizontal="center" vertical="center" textRotation="90"/>
    </xf>
    <xf numFmtId="0" fontId="46" fillId="2" borderId="57" xfId="0" applyFont="1" applyFill="1" applyBorder="1" applyAlignment="1">
      <alignment horizontal="center" vertical="center" textRotation="90"/>
    </xf>
    <xf numFmtId="0" fontId="46" fillId="2" borderId="55" xfId="0" applyFont="1" applyFill="1" applyBorder="1" applyAlignment="1">
      <alignment horizontal="center" vertical="center" textRotation="90"/>
    </xf>
    <xf numFmtId="0" fontId="46" fillId="2" borderId="56" xfId="0" applyFont="1" applyFill="1" applyBorder="1" applyAlignment="1">
      <alignment horizontal="center" vertical="center" textRotation="90"/>
    </xf>
    <xf numFmtId="0" fontId="34" fillId="2" borderId="0" xfId="0" applyFont="1" applyFill="1" applyBorder="1" applyAlignment="1">
      <alignment horizontal="center" vertical="center"/>
    </xf>
    <xf numFmtId="0" fontId="34" fillId="0" borderId="0" xfId="0" applyFont="1" applyBorder="1" applyAlignment="1">
      <alignment vertical="center"/>
    </xf>
    <xf numFmtId="0" fontId="34" fillId="0" borderId="19" xfId="0" applyFont="1" applyBorder="1" applyAlignment="1">
      <alignment vertical="center"/>
    </xf>
    <xf numFmtId="0" fontId="47" fillId="2" borderId="57" xfId="0" applyFont="1" applyFill="1" applyBorder="1" applyAlignment="1">
      <alignment horizontal="center"/>
    </xf>
    <xf numFmtId="0" fontId="47" fillId="2" borderId="0" xfId="0" applyFont="1" applyFill="1" applyBorder="1" applyAlignment="1">
      <alignment horizontal="center"/>
    </xf>
    <xf numFmtId="0" fontId="47" fillId="2" borderId="58" xfId="0" applyFont="1" applyFill="1" applyBorder="1" applyAlignment="1">
      <alignment horizontal="center"/>
    </xf>
    <xf numFmtId="0" fontId="33" fillId="2" borderId="60" xfId="0" applyFont="1" applyFill="1" applyBorder="1" applyAlignment="1">
      <alignment horizontal="center" vertical="center"/>
    </xf>
    <xf numFmtId="0" fontId="21" fillId="0" borderId="61" xfId="0" applyFont="1" applyBorder="1" applyAlignment="1"/>
    <xf numFmtId="0" fontId="21" fillId="0" borderId="62" xfId="0" applyFont="1" applyBorder="1" applyAlignment="1"/>
    <xf numFmtId="0" fontId="21" fillId="0" borderId="63" xfId="0" applyFont="1" applyBorder="1" applyAlignment="1"/>
    <xf numFmtId="0" fontId="33" fillId="2" borderId="54" xfId="0" applyFont="1" applyFill="1" applyBorder="1" applyAlignment="1">
      <alignment horizontal="center" vertical="center"/>
    </xf>
    <xf numFmtId="0" fontId="21" fillId="0" borderId="56" xfId="0" applyFont="1" applyBorder="1" applyAlignment="1">
      <alignment horizontal="center" vertical="center"/>
    </xf>
    <xf numFmtId="0" fontId="34" fillId="2" borderId="54" xfId="0" applyFont="1" applyFill="1" applyBorder="1" applyAlignment="1">
      <alignment horizontal="center" vertical="center"/>
    </xf>
    <xf numFmtId="0" fontId="34" fillId="2" borderId="56" xfId="0" applyFont="1" applyFill="1" applyBorder="1" applyAlignment="1">
      <alignment horizontal="center" vertical="center"/>
    </xf>
    <xf numFmtId="0" fontId="6" fillId="0" borderId="0" xfId="0" applyFont="1" applyAlignment="1">
      <alignment horizontal="center"/>
    </xf>
    <xf numFmtId="0" fontId="5" fillId="0" borderId="0" xfId="0" applyFont="1" applyAlignment="1">
      <alignment horizontal="distributed" vertical="distributed" wrapText="1"/>
    </xf>
    <xf numFmtId="0" fontId="5" fillId="0" borderId="0" xfId="0" applyFont="1" applyAlignment="1">
      <alignment horizontal="left" vertical="distributed" wrapText="1"/>
    </xf>
    <xf numFmtId="0" fontId="8" fillId="0" borderId="1" xfId="3" applyFont="1" applyBorder="1" applyAlignment="1">
      <alignment horizontal="left"/>
    </xf>
    <xf numFmtId="0" fontId="13" fillId="0" borderId="0" xfId="3" applyFont="1" applyAlignment="1">
      <alignment horizontal="center"/>
    </xf>
    <xf numFmtId="0" fontId="6" fillId="0" borderId="0" xfId="0" applyNumberFormat="1" applyFont="1" applyAlignment="1">
      <alignment horizontal="center"/>
    </xf>
    <xf numFmtId="0" fontId="13" fillId="0" borderId="0" xfId="0" applyFont="1" applyAlignment="1">
      <alignment horizontal="center"/>
    </xf>
    <xf numFmtId="0" fontId="11" fillId="0" borderId="0" xfId="0" applyFont="1" applyAlignment="1">
      <alignment horizontal="center"/>
    </xf>
    <xf numFmtId="0" fontId="15" fillId="0" borderId="0" xfId="0" applyFont="1" applyAlignment="1">
      <alignment horizontal="center"/>
    </xf>
    <xf numFmtId="0" fontId="0" fillId="0" borderId="0" xfId="0" applyAlignment="1">
      <alignment horizontal="left" vertical="distributed" wrapText="1"/>
    </xf>
    <xf numFmtId="0" fontId="0" fillId="0" borderId="0" xfId="0" applyAlignment="1">
      <alignment horizontal="distributed" vertical="distributed" wrapText="1"/>
    </xf>
    <xf numFmtId="0" fontId="0" fillId="0" borderId="0" xfId="0" applyAlignment="1">
      <alignment horizontal="right" vertical="justify" wrapText="1"/>
    </xf>
    <xf numFmtId="0" fontId="0" fillId="0" borderId="0" xfId="0" applyBorder="1" applyAlignment="1">
      <alignment horizontal="left" vertical="distributed" wrapText="1"/>
    </xf>
    <xf numFmtId="0" fontId="22" fillId="0" borderId="65" xfId="0" applyFont="1" applyFill="1" applyBorder="1" applyAlignment="1">
      <alignment horizontal="center"/>
    </xf>
    <xf numFmtId="0" fontId="22" fillId="0" borderId="66" xfId="0" applyFont="1" applyFill="1" applyBorder="1" applyAlignment="1">
      <alignment horizontal="center"/>
    </xf>
  </cellXfs>
  <cellStyles count="7">
    <cellStyle name="Millares" xfId="1" builtinId="3"/>
    <cellStyle name="Moneda" xfId="2" builtinId="4"/>
    <cellStyle name="Normal" xfId="0" builtinId="0"/>
    <cellStyle name="Normal_AnexoA2005" xfId="6"/>
    <cellStyle name="Normal_Indicadores 2006" xfId="3"/>
    <cellStyle name="Normal_simulación con FUNCIONARIOS OCT 04" xfId="5"/>
    <cellStyle name="Porcentual"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504825</xdr:colOff>
      <xdr:row>0</xdr:row>
      <xdr:rowOff>47625</xdr:rowOff>
    </xdr:from>
    <xdr:to>
      <xdr:col>4</xdr:col>
      <xdr:colOff>190500</xdr:colOff>
      <xdr:row>4</xdr:row>
      <xdr:rowOff>104775</xdr:rowOff>
    </xdr:to>
    <xdr:pic>
      <xdr:nvPicPr>
        <xdr:cNvPr id="2051"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038600" y="47625"/>
          <a:ext cx="657225"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619125</xdr:colOff>
      <xdr:row>0</xdr:row>
      <xdr:rowOff>0</xdr:rowOff>
    </xdr:from>
    <xdr:to>
      <xdr:col>5</xdr:col>
      <xdr:colOff>638175</xdr:colOff>
      <xdr:row>4</xdr:row>
      <xdr:rowOff>161925</xdr:rowOff>
    </xdr:to>
    <xdr:pic>
      <xdr:nvPicPr>
        <xdr:cNvPr id="11267"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876925" y="0"/>
          <a:ext cx="866775" cy="923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5</xdr:col>
      <xdr:colOff>619125</xdr:colOff>
      <xdr:row>0</xdr:row>
      <xdr:rowOff>0</xdr:rowOff>
    </xdr:from>
    <xdr:to>
      <xdr:col>6</xdr:col>
      <xdr:colOff>504825</xdr:colOff>
      <xdr:row>4</xdr:row>
      <xdr:rowOff>57150</xdr:rowOff>
    </xdr:to>
    <xdr:pic>
      <xdr:nvPicPr>
        <xdr:cNvPr id="12291"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924675" y="0"/>
          <a:ext cx="876300"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123825</xdr:colOff>
      <xdr:row>0</xdr:row>
      <xdr:rowOff>0</xdr:rowOff>
    </xdr:from>
    <xdr:to>
      <xdr:col>3</xdr:col>
      <xdr:colOff>771525</xdr:colOff>
      <xdr:row>4</xdr:row>
      <xdr:rowOff>57150</xdr:rowOff>
    </xdr:to>
    <xdr:pic>
      <xdr:nvPicPr>
        <xdr:cNvPr id="13315"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762375" y="0"/>
          <a:ext cx="542925"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57150</xdr:colOff>
      <xdr:row>0</xdr:row>
      <xdr:rowOff>0</xdr:rowOff>
    </xdr:from>
    <xdr:to>
      <xdr:col>3</xdr:col>
      <xdr:colOff>704850</xdr:colOff>
      <xdr:row>4</xdr:row>
      <xdr:rowOff>57150</xdr:rowOff>
    </xdr:to>
    <xdr:pic>
      <xdr:nvPicPr>
        <xdr:cNvPr id="14339"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733800" y="0"/>
          <a:ext cx="647700"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485775</xdr:colOff>
      <xdr:row>0</xdr:row>
      <xdr:rowOff>0</xdr:rowOff>
    </xdr:from>
    <xdr:to>
      <xdr:col>4</xdr:col>
      <xdr:colOff>371475</xdr:colOff>
      <xdr:row>4</xdr:row>
      <xdr:rowOff>57150</xdr:rowOff>
    </xdr:to>
    <xdr:pic>
      <xdr:nvPicPr>
        <xdr:cNvPr id="15363"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152900" y="0"/>
          <a:ext cx="619125"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57150</xdr:colOff>
      <xdr:row>0</xdr:row>
      <xdr:rowOff>0</xdr:rowOff>
    </xdr:from>
    <xdr:to>
      <xdr:col>3</xdr:col>
      <xdr:colOff>704850</xdr:colOff>
      <xdr:row>4</xdr:row>
      <xdr:rowOff>57150</xdr:rowOff>
    </xdr:to>
    <xdr:pic>
      <xdr:nvPicPr>
        <xdr:cNvPr id="16387"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676650" y="0"/>
          <a:ext cx="647700" cy="7334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523875</xdr:colOff>
      <xdr:row>0</xdr:row>
      <xdr:rowOff>0</xdr:rowOff>
    </xdr:from>
    <xdr:to>
      <xdr:col>4</xdr:col>
      <xdr:colOff>104775</xdr:colOff>
      <xdr:row>4</xdr:row>
      <xdr:rowOff>57150</xdr:rowOff>
    </xdr:to>
    <xdr:pic>
      <xdr:nvPicPr>
        <xdr:cNvPr id="17411"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238625" y="0"/>
          <a:ext cx="381000" cy="7334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485775</xdr:colOff>
      <xdr:row>0</xdr:row>
      <xdr:rowOff>0</xdr:rowOff>
    </xdr:from>
    <xdr:to>
      <xdr:col>4</xdr:col>
      <xdr:colOff>371475</xdr:colOff>
      <xdr:row>4</xdr:row>
      <xdr:rowOff>57150</xdr:rowOff>
    </xdr:to>
    <xdr:pic>
      <xdr:nvPicPr>
        <xdr:cNvPr id="18435"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219575" y="0"/>
          <a:ext cx="552450"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438150</xdr:colOff>
      <xdr:row>0</xdr:row>
      <xdr:rowOff>0</xdr:rowOff>
    </xdr:from>
    <xdr:to>
      <xdr:col>3</xdr:col>
      <xdr:colOff>323850</xdr:colOff>
      <xdr:row>4</xdr:row>
      <xdr:rowOff>57150</xdr:rowOff>
    </xdr:to>
    <xdr:pic>
      <xdr:nvPicPr>
        <xdr:cNvPr id="19459"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371850" y="0"/>
          <a:ext cx="942975" cy="7334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1143000</xdr:colOff>
      <xdr:row>0</xdr:row>
      <xdr:rowOff>0</xdr:rowOff>
    </xdr:from>
    <xdr:to>
      <xdr:col>3</xdr:col>
      <xdr:colOff>1028700</xdr:colOff>
      <xdr:row>4</xdr:row>
      <xdr:rowOff>57150</xdr:rowOff>
    </xdr:to>
    <xdr:pic>
      <xdr:nvPicPr>
        <xdr:cNvPr id="20483"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076700" y="0"/>
          <a:ext cx="1038225" cy="7334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1704975</xdr:colOff>
      <xdr:row>0</xdr:row>
      <xdr:rowOff>76200</xdr:rowOff>
    </xdr:from>
    <xdr:to>
      <xdr:col>1</xdr:col>
      <xdr:colOff>2362200</xdr:colOff>
      <xdr:row>4</xdr:row>
      <xdr:rowOff>133350</xdr:rowOff>
    </xdr:to>
    <xdr:pic>
      <xdr:nvPicPr>
        <xdr:cNvPr id="3075"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704975" y="76200"/>
          <a:ext cx="657225"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19050</xdr:colOff>
      <xdr:row>0</xdr:row>
      <xdr:rowOff>0</xdr:rowOff>
    </xdr:from>
    <xdr:to>
      <xdr:col>2</xdr:col>
      <xdr:colOff>666750</xdr:colOff>
      <xdr:row>4</xdr:row>
      <xdr:rowOff>57150</xdr:rowOff>
    </xdr:to>
    <xdr:pic>
      <xdr:nvPicPr>
        <xdr:cNvPr id="21507"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190750" y="0"/>
          <a:ext cx="647700"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1419225</xdr:colOff>
      <xdr:row>0</xdr:row>
      <xdr:rowOff>0</xdr:rowOff>
    </xdr:from>
    <xdr:to>
      <xdr:col>1</xdr:col>
      <xdr:colOff>2066925</xdr:colOff>
      <xdr:row>4</xdr:row>
      <xdr:rowOff>57150</xdr:rowOff>
    </xdr:to>
    <xdr:pic>
      <xdr:nvPicPr>
        <xdr:cNvPr id="22531"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876425" y="0"/>
          <a:ext cx="647700" cy="7334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419100</xdr:colOff>
      <xdr:row>0</xdr:row>
      <xdr:rowOff>28575</xdr:rowOff>
    </xdr:from>
    <xdr:to>
      <xdr:col>1</xdr:col>
      <xdr:colOff>1066800</xdr:colOff>
      <xdr:row>4</xdr:row>
      <xdr:rowOff>85725</xdr:rowOff>
    </xdr:to>
    <xdr:pic>
      <xdr:nvPicPr>
        <xdr:cNvPr id="23555"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590800" y="28575"/>
          <a:ext cx="647700" cy="7334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2295525</xdr:colOff>
      <xdr:row>0</xdr:row>
      <xdr:rowOff>0</xdr:rowOff>
    </xdr:from>
    <xdr:to>
      <xdr:col>3</xdr:col>
      <xdr:colOff>466725</xdr:colOff>
      <xdr:row>4</xdr:row>
      <xdr:rowOff>57150</xdr:rowOff>
    </xdr:to>
    <xdr:pic>
      <xdr:nvPicPr>
        <xdr:cNvPr id="24579"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752725" y="0"/>
          <a:ext cx="647700"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3</xdr:col>
      <xdr:colOff>2105025</xdr:colOff>
      <xdr:row>0</xdr:row>
      <xdr:rowOff>19050</xdr:rowOff>
    </xdr:from>
    <xdr:to>
      <xdr:col>3</xdr:col>
      <xdr:colOff>2752725</xdr:colOff>
      <xdr:row>4</xdr:row>
      <xdr:rowOff>76200</xdr:rowOff>
    </xdr:to>
    <xdr:pic>
      <xdr:nvPicPr>
        <xdr:cNvPr id="25603"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743200" y="19050"/>
          <a:ext cx="647700" cy="7334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6</xdr:col>
      <xdr:colOff>142875</xdr:colOff>
      <xdr:row>0</xdr:row>
      <xdr:rowOff>19050</xdr:rowOff>
    </xdr:from>
    <xdr:to>
      <xdr:col>6</xdr:col>
      <xdr:colOff>1009650</xdr:colOff>
      <xdr:row>4</xdr:row>
      <xdr:rowOff>76200</xdr:rowOff>
    </xdr:to>
    <xdr:pic>
      <xdr:nvPicPr>
        <xdr:cNvPr id="26627"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7153275" y="19050"/>
          <a:ext cx="866775" cy="7048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1914525</xdr:colOff>
      <xdr:row>0</xdr:row>
      <xdr:rowOff>0</xdr:rowOff>
    </xdr:from>
    <xdr:to>
      <xdr:col>1</xdr:col>
      <xdr:colOff>2657475</xdr:colOff>
      <xdr:row>4</xdr:row>
      <xdr:rowOff>133350</xdr:rowOff>
    </xdr:to>
    <xdr:pic>
      <xdr:nvPicPr>
        <xdr:cNvPr id="27651"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676525" y="0"/>
          <a:ext cx="742950" cy="838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3</xdr:col>
      <xdr:colOff>466725</xdr:colOff>
      <xdr:row>0</xdr:row>
      <xdr:rowOff>0</xdr:rowOff>
    </xdr:from>
    <xdr:to>
      <xdr:col>5</xdr:col>
      <xdr:colOff>190500</xdr:colOff>
      <xdr:row>4</xdr:row>
      <xdr:rowOff>161925</xdr:rowOff>
    </xdr:to>
    <xdr:pic>
      <xdr:nvPicPr>
        <xdr:cNvPr id="29699"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924425" y="0"/>
          <a:ext cx="581025" cy="838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2895600</xdr:colOff>
      <xdr:row>0</xdr:row>
      <xdr:rowOff>0</xdr:rowOff>
    </xdr:from>
    <xdr:to>
      <xdr:col>0</xdr:col>
      <xdr:colOff>3495675</xdr:colOff>
      <xdr:row>4</xdr:row>
      <xdr:rowOff>161925</xdr:rowOff>
    </xdr:to>
    <xdr:pic>
      <xdr:nvPicPr>
        <xdr:cNvPr id="30723"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895600" y="0"/>
          <a:ext cx="600075" cy="838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2</xdr:col>
      <xdr:colOff>3714750</xdr:colOff>
      <xdr:row>0</xdr:row>
      <xdr:rowOff>47625</xdr:rowOff>
    </xdr:from>
    <xdr:to>
      <xdr:col>2</xdr:col>
      <xdr:colOff>4610100</xdr:colOff>
      <xdr:row>3</xdr:row>
      <xdr:rowOff>190500</xdr:rowOff>
    </xdr:to>
    <xdr:pic>
      <xdr:nvPicPr>
        <xdr:cNvPr id="28675"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114925" y="47625"/>
          <a:ext cx="895350" cy="7143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419100</xdr:colOff>
      <xdr:row>0</xdr:row>
      <xdr:rowOff>0</xdr:rowOff>
    </xdr:from>
    <xdr:to>
      <xdr:col>6</xdr:col>
      <xdr:colOff>1076325</xdr:colOff>
      <xdr:row>4</xdr:row>
      <xdr:rowOff>57150</xdr:rowOff>
    </xdr:to>
    <xdr:pic>
      <xdr:nvPicPr>
        <xdr:cNvPr id="4101"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409825" y="0"/>
          <a:ext cx="657225"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1704975</xdr:colOff>
      <xdr:row>0</xdr:row>
      <xdr:rowOff>76200</xdr:rowOff>
    </xdr:from>
    <xdr:to>
      <xdr:col>0</xdr:col>
      <xdr:colOff>2362200</xdr:colOff>
      <xdr:row>4</xdr:row>
      <xdr:rowOff>133350</xdr:rowOff>
    </xdr:to>
    <xdr:pic>
      <xdr:nvPicPr>
        <xdr:cNvPr id="4102"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85750" y="76200"/>
          <a:ext cx="0"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4</xdr:row>
      <xdr:rowOff>161925</xdr:rowOff>
    </xdr:to>
    <xdr:pic>
      <xdr:nvPicPr>
        <xdr:cNvPr id="31749"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0" y="0"/>
          <a:ext cx="0" cy="923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2952750</xdr:colOff>
      <xdr:row>0</xdr:row>
      <xdr:rowOff>0</xdr:rowOff>
    </xdr:from>
    <xdr:to>
      <xdr:col>0</xdr:col>
      <xdr:colOff>3648075</xdr:colOff>
      <xdr:row>4</xdr:row>
      <xdr:rowOff>133350</xdr:rowOff>
    </xdr:to>
    <xdr:pic>
      <xdr:nvPicPr>
        <xdr:cNvPr id="31750"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952750" y="0"/>
          <a:ext cx="695325" cy="8953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2</xdr:col>
      <xdr:colOff>5314950</xdr:colOff>
      <xdr:row>0</xdr:row>
      <xdr:rowOff>47625</xdr:rowOff>
    </xdr:from>
    <xdr:to>
      <xdr:col>3</xdr:col>
      <xdr:colOff>695325</xdr:colOff>
      <xdr:row>5</xdr:row>
      <xdr:rowOff>161925</xdr:rowOff>
    </xdr:to>
    <xdr:pic>
      <xdr:nvPicPr>
        <xdr:cNvPr id="32771"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7877175" y="47625"/>
          <a:ext cx="866775" cy="1066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3143250</xdr:colOff>
      <xdr:row>0</xdr:row>
      <xdr:rowOff>0</xdr:rowOff>
    </xdr:from>
    <xdr:to>
      <xdr:col>1</xdr:col>
      <xdr:colOff>400050</xdr:colOff>
      <xdr:row>4</xdr:row>
      <xdr:rowOff>171450</xdr:rowOff>
    </xdr:to>
    <xdr:pic>
      <xdr:nvPicPr>
        <xdr:cNvPr id="33795"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143250" y="0"/>
          <a:ext cx="628650" cy="933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2133600</xdr:colOff>
      <xdr:row>0</xdr:row>
      <xdr:rowOff>0</xdr:rowOff>
    </xdr:from>
    <xdr:to>
      <xdr:col>0</xdr:col>
      <xdr:colOff>2733675</xdr:colOff>
      <xdr:row>4</xdr:row>
      <xdr:rowOff>161925</xdr:rowOff>
    </xdr:to>
    <xdr:pic>
      <xdr:nvPicPr>
        <xdr:cNvPr id="34819"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133600" y="0"/>
          <a:ext cx="600075"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4181475</xdr:colOff>
      <xdr:row>0</xdr:row>
      <xdr:rowOff>0</xdr:rowOff>
    </xdr:from>
    <xdr:to>
      <xdr:col>0</xdr:col>
      <xdr:colOff>4781550</xdr:colOff>
      <xdr:row>4</xdr:row>
      <xdr:rowOff>161925</xdr:rowOff>
    </xdr:to>
    <xdr:pic>
      <xdr:nvPicPr>
        <xdr:cNvPr id="1027"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181475" y="0"/>
          <a:ext cx="600075"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2133600</xdr:colOff>
      <xdr:row>0</xdr:row>
      <xdr:rowOff>0</xdr:rowOff>
    </xdr:from>
    <xdr:to>
      <xdr:col>1</xdr:col>
      <xdr:colOff>2733675</xdr:colOff>
      <xdr:row>5</xdr:row>
      <xdr:rowOff>161925</xdr:rowOff>
    </xdr:to>
    <xdr:pic>
      <xdr:nvPicPr>
        <xdr:cNvPr id="35845"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838200" y="0"/>
          <a:ext cx="0" cy="971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2790825</xdr:colOff>
      <xdr:row>0</xdr:row>
      <xdr:rowOff>9525</xdr:rowOff>
    </xdr:from>
    <xdr:to>
      <xdr:col>2</xdr:col>
      <xdr:colOff>3381375</xdr:colOff>
      <xdr:row>5</xdr:row>
      <xdr:rowOff>38100</xdr:rowOff>
    </xdr:to>
    <xdr:pic>
      <xdr:nvPicPr>
        <xdr:cNvPr id="35846"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629025" y="9525"/>
          <a:ext cx="590550" cy="838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2136775</xdr:colOff>
      <xdr:row>4</xdr:row>
      <xdr:rowOff>0</xdr:rowOff>
    </xdr:from>
    <xdr:to>
      <xdr:col>1</xdr:col>
      <xdr:colOff>2729330</xdr:colOff>
      <xdr:row>6</xdr:row>
      <xdr:rowOff>158750</xdr:rowOff>
    </xdr:to>
    <xdr:pic>
      <xdr:nvPicPr>
        <xdr:cNvPr id="4" name="0 Imagen" descr="condor.jpg"/>
        <xdr:cNvPicPr>
          <a:picLocks noChangeAspect="1" noChangeArrowheads="1"/>
        </xdr:cNvPicPr>
      </xdr:nvPicPr>
      <xdr:blipFill>
        <a:blip xmlns:r="http://schemas.openxmlformats.org/officeDocument/2006/relationships" r:embed="rId1" cstate="print"/>
        <a:srcRect/>
        <a:stretch>
          <a:fillRect/>
        </a:stretch>
      </xdr:blipFill>
      <xdr:spPr bwMode="auto">
        <a:xfrm>
          <a:off x="841375" y="0"/>
          <a:ext cx="0" cy="968375"/>
        </a:xfrm>
        <a:prstGeom prst="rect">
          <a:avLst/>
        </a:prstGeom>
        <a:noFill/>
        <a:ln w="9525">
          <a:noFill/>
          <a:miter lim="800000"/>
          <a:headEnd/>
          <a:tailEnd/>
        </a:ln>
      </xdr:spPr>
    </xdr:pic>
    <xdr:clientData/>
  </xdr:twoCellAnchor>
</xdr:wsDr>
</file>

<file path=xl/drawings/drawing36.xml><?xml version="1.0" encoding="utf-8"?>
<xdr:wsDr xmlns:xdr="http://schemas.openxmlformats.org/drawingml/2006/spreadsheetDrawing" xmlns:a="http://schemas.openxmlformats.org/drawingml/2006/main">
  <xdr:twoCellAnchor>
    <xdr:from>
      <xdr:col>2</xdr:col>
      <xdr:colOff>1390650</xdr:colOff>
      <xdr:row>0</xdr:row>
      <xdr:rowOff>9525</xdr:rowOff>
    </xdr:from>
    <xdr:to>
      <xdr:col>2</xdr:col>
      <xdr:colOff>2028825</xdr:colOff>
      <xdr:row>2</xdr:row>
      <xdr:rowOff>133350</xdr:rowOff>
    </xdr:to>
    <xdr:pic>
      <xdr:nvPicPr>
        <xdr:cNvPr id="36867"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847850" y="9525"/>
          <a:ext cx="638175" cy="4476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771525</xdr:colOff>
      <xdr:row>0</xdr:row>
      <xdr:rowOff>0</xdr:rowOff>
    </xdr:from>
    <xdr:to>
      <xdr:col>3</xdr:col>
      <xdr:colOff>361950</xdr:colOff>
      <xdr:row>4</xdr:row>
      <xdr:rowOff>57150</xdr:rowOff>
    </xdr:to>
    <xdr:pic>
      <xdr:nvPicPr>
        <xdr:cNvPr id="5123"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724275" y="0"/>
          <a:ext cx="647700"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123825</xdr:colOff>
      <xdr:row>0</xdr:row>
      <xdr:rowOff>0</xdr:rowOff>
    </xdr:from>
    <xdr:to>
      <xdr:col>3</xdr:col>
      <xdr:colOff>771525</xdr:colOff>
      <xdr:row>4</xdr:row>
      <xdr:rowOff>57150</xdr:rowOff>
    </xdr:to>
    <xdr:pic>
      <xdr:nvPicPr>
        <xdr:cNvPr id="6147"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133850" y="0"/>
          <a:ext cx="647700"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123825</xdr:colOff>
      <xdr:row>0</xdr:row>
      <xdr:rowOff>0</xdr:rowOff>
    </xdr:from>
    <xdr:to>
      <xdr:col>3</xdr:col>
      <xdr:colOff>771525</xdr:colOff>
      <xdr:row>4</xdr:row>
      <xdr:rowOff>57150</xdr:rowOff>
    </xdr:to>
    <xdr:pic>
      <xdr:nvPicPr>
        <xdr:cNvPr id="7171"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133850" y="0"/>
          <a:ext cx="647700"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1009650</xdr:colOff>
      <xdr:row>0</xdr:row>
      <xdr:rowOff>0</xdr:rowOff>
    </xdr:from>
    <xdr:to>
      <xdr:col>3</xdr:col>
      <xdr:colOff>590550</xdr:colOff>
      <xdr:row>4</xdr:row>
      <xdr:rowOff>57150</xdr:rowOff>
    </xdr:to>
    <xdr:pic>
      <xdr:nvPicPr>
        <xdr:cNvPr id="8195"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362450" y="0"/>
          <a:ext cx="647700"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xdr:colOff>
      <xdr:row>0</xdr:row>
      <xdr:rowOff>9525</xdr:rowOff>
    </xdr:from>
    <xdr:to>
      <xdr:col>3</xdr:col>
      <xdr:colOff>657225</xdr:colOff>
      <xdr:row>4</xdr:row>
      <xdr:rowOff>66675</xdr:rowOff>
    </xdr:to>
    <xdr:pic>
      <xdr:nvPicPr>
        <xdr:cNvPr id="9219"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000500" y="9525"/>
          <a:ext cx="647700"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619125</xdr:colOff>
      <xdr:row>0</xdr:row>
      <xdr:rowOff>0</xdr:rowOff>
    </xdr:from>
    <xdr:to>
      <xdr:col>5</xdr:col>
      <xdr:colOff>504825</xdr:colOff>
      <xdr:row>4</xdr:row>
      <xdr:rowOff>57150</xdr:rowOff>
    </xdr:to>
    <xdr:pic>
      <xdr:nvPicPr>
        <xdr:cNvPr id="10243" name="0 Imagen" descr="condo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676775" y="0"/>
          <a:ext cx="552450"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ARIO\A&#209;O%202013\PRES_AJUSTADO%202012-FINAL%20HC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sumen"/>
      <sheetName val="financ."/>
      <sheetName val="recursos"/>
      <sheetName val="res jusd."/>
      <sheetName val="res gral"/>
      <sheetName val="intend"/>
      <sheetName val="Int juris"/>
      <sheetName val="ANEXO1"/>
      <sheetName val="gob"/>
      <sheetName val="Gob juris"/>
      <sheetName val="ANEXO2"/>
      <sheetName val="hac"/>
      <sheetName val="hac juris"/>
      <sheetName val="ANEXO4"/>
      <sheetName val="obras"/>
      <sheetName val="obras juris"/>
      <sheetName val="ANEXO5"/>
      <sheetName val="serv.espec."/>
      <sheetName val="SER.ESPEC."/>
      <sheetName val="ANEXO3"/>
      <sheetName val="juzg"/>
      <sheetName val="ANEXO7"/>
      <sheetName val="hcd"/>
      <sheetName val="ANEXO6"/>
      <sheetName val="FINAL. FUNCION"/>
      <sheetName val="FF-PARTIDAS"/>
      <sheetName val="anexo A"/>
      <sheetName val="COMPARACION"/>
      <sheetName val="anexo B"/>
      <sheetName val="indicadores"/>
      <sheetName val="plan obra 2012"/>
      <sheetName val="proyec"/>
      <sheetName val="supuestos"/>
      <sheetName val="costo trib"/>
      <sheetName val="subsidios"/>
      <sheetName val="ppto.part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6">
          <cell r="E6">
            <v>0.06</v>
          </cell>
        </row>
        <row r="7">
          <cell r="E7">
            <v>0.04</v>
          </cell>
        </row>
        <row r="8">
          <cell r="E8">
            <v>8.8999999999999996E-2</v>
          </cell>
        </row>
        <row r="9">
          <cell r="E9">
            <v>0.14499999999999999</v>
          </cell>
        </row>
        <row r="13">
          <cell r="E13">
            <v>0.17</v>
          </cell>
        </row>
      </sheetData>
      <sheetData sheetId="33"/>
      <sheetData sheetId="34"/>
      <sheetData sheetId="3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46"/>
  <sheetViews>
    <sheetView workbookViewId="0">
      <selection activeCell="F50" sqref="F50"/>
    </sheetView>
  </sheetViews>
  <sheetFormatPr baseColWidth="10" defaultRowHeight="15"/>
  <cols>
    <col min="1" max="1" width="41.42578125" customWidth="1"/>
    <col min="2" max="2" width="11.5703125" bestFit="1" customWidth="1"/>
    <col min="3" max="3" width="12.7109375" bestFit="1" customWidth="1"/>
    <col min="4" max="4" width="1.85546875" customWidth="1"/>
    <col min="5" max="5" width="37.28515625" bestFit="1" customWidth="1"/>
    <col min="6" max="6" width="12.85546875" bestFit="1" customWidth="1"/>
    <col min="7" max="7" width="12.7109375" bestFit="1" customWidth="1"/>
    <col min="9" max="9" width="14.85546875" bestFit="1" customWidth="1"/>
    <col min="10" max="10" width="14.5703125" bestFit="1" customWidth="1"/>
  </cols>
  <sheetData>
    <row r="1" spans="1:10" s="1" customFormat="1" ht="15" customHeight="1">
      <c r="A1"/>
      <c r="E1" s="2"/>
      <c r="G1" s="3"/>
      <c r="H1" s="4"/>
    </row>
    <row r="2" spans="1:10" s="1" customFormat="1" ht="15" customHeight="1">
      <c r="E2" s="2"/>
      <c r="G2" s="3"/>
    </row>
    <row r="3" spans="1:10" s="1" customFormat="1" ht="15" customHeight="1">
      <c r="E3" s="5"/>
      <c r="G3" s="3"/>
    </row>
    <row r="4" spans="1:10" s="1" customFormat="1" ht="15" customHeight="1">
      <c r="E4" s="5"/>
      <c r="G4" s="3"/>
    </row>
    <row r="5" spans="1:10" s="1" customFormat="1" ht="15" customHeight="1" thickBot="1">
      <c r="A5" s="6"/>
      <c r="B5" s="6"/>
      <c r="C5" s="6"/>
      <c r="D5" s="6"/>
      <c r="E5" s="6"/>
      <c r="F5" s="6"/>
      <c r="G5" s="6"/>
    </row>
    <row r="6" spans="1:10" ht="9.75" customHeight="1" thickTop="1"/>
    <row r="7" spans="1:10" s="20" customFormat="1" ht="12.75">
      <c r="A7" s="91" t="s">
        <v>870</v>
      </c>
    </row>
    <row r="8" spans="1:10">
      <c r="A8" s="390" t="s">
        <v>747</v>
      </c>
      <c r="B8" s="390"/>
      <c r="C8" s="390"/>
      <c r="D8" s="390"/>
      <c r="E8" s="390"/>
      <c r="F8" s="390"/>
      <c r="G8" s="390"/>
    </row>
    <row r="9" spans="1:10">
      <c r="A9" s="390" t="s">
        <v>0</v>
      </c>
      <c r="B9" s="390"/>
      <c r="C9" s="390"/>
      <c r="D9" s="390"/>
      <c r="E9" s="390"/>
      <c r="F9" s="390"/>
      <c r="G9" s="390"/>
    </row>
    <row r="10" spans="1:10">
      <c r="A10" s="391" t="s">
        <v>2</v>
      </c>
      <c r="B10" s="391"/>
      <c r="C10" s="391"/>
      <c r="D10" s="391"/>
      <c r="E10" s="391"/>
      <c r="F10" s="391"/>
      <c r="G10" s="391"/>
    </row>
    <row r="11" spans="1:10" ht="6.75" customHeight="1">
      <c r="A11" s="26"/>
      <c r="B11" s="26"/>
      <c r="C11" s="26"/>
      <c r="D11" s="26"/>
      <c r="E11" s="26"/>
      <c r="F11" s="26"/>
      <c r="G11" s="26"/>
    </row>
    <row r="12" spans="1:10" s="9" customFormat="1" ht="12">
      <c r="A12" s="8" t="s">
        <v>3</v>
      </c>
      <c r="B12" s="8" t="s">
        <v>4</v>
      </c>
      <c r="C12" s="8" t="s">
        <v>5</v>
      </c>
      <c r="E12" s="8" t="s">
        <v>3</v>
      </c>
      <c r="F12" s="8" t="s">
        <v>4</v>
      </c>
      <c r="G12" s="8" t="s">
        <v>5</v>
      </c>
    </row>
    <row r="13" spans="1:10" s="24" customFormat="1" ht="3" customHeight="1">
      <c r="A13" s="23"/>
      <c r="B13" s="23"/>
      <c r="C13" s="23"/>
      <c r="E13" s="23"/>
      <c r="F13" s="23"/>
      <c r="G13" s="23"/>
    </row>
    <row r="14" spans="1:10" s="10" customFormat="1">
      <c r="A14" s="18" t="s">
        <v>1</v>
      </c>
      <c r="B14" s="13">
        <f>+B15+B18+B22</f>
        <v>607465240</v>
      </c>
      <c r="C14" s="15">
        <f>+B14/B31</f>
        <v>0.97540476114358532</v>
      </c>
      <c r="E14" s="18" t="s">
        <v>33</v>
      </c>
      <c r="F14" s="13">
        <f>+SUM(F19:F20)+F15</f>
        <v>488297380</v>
      </c>
      <c r="G14" s="15">
        <v>0.71030000000000004</v>
      </c>
    </row>
    <row r="15" spans="1:10" s="7" customFormat="1">
      <c r="A15" s="7" t="s">
        <v>6</v>
      </c>
      <c r="B15" s="11">
        <f>SUM(B16:B17)</f>
        <v>279908810</v>
      </c>
      <c r="C15" s="17">
        <f>+B15/$B$31</f>
        <v>0.44944857414398759</v>
      </c>
      <c r="E15" s="7" t="s">
        <v>34</v>
      </c>
      <c r="F15" s="11">
        <f>SUM(F16:F18)</f>
        <v>480430010</v>
      </c>
      <c r="G15" s="17">
        <v>0.69879999999999998</v>
      </c>
    </row>
    <row r="16" spans="1:10" s="20" customFormat="1">
      <c r="A16" s="20" t="s">
        <v>7</v>
      </c>
      <c r="B16" s="21">
        <f>+recursos!H14</f>
        <v>279908810</v>
      </c>
      <c r="C16" s="22">
        <f>+B16/$B$15</f>
        <v>1</v>
      </c>
      <c r="E16" s="20" t="s">
        <v>35</v>
      </c>
      <c r="F16" s="21">
        <f>+conjurisd!B14</f>
        <v>282382800</v>
      </c>
      <c r="G16" s="22">
        <v>0.41070000000000001</v>
      </c>
      <c r="I16" s="305"/>
      <c r="J16" s="7"/>
    </row>
    <row r="17" spans="1:10" s="20" customFormat="1">
      <c r="A17" s="20" t="s">
        <v>8</v>
      </c>
      <c r="B17" s="21">
        <f>+recursos!H27</f>
        <v>0</v>
      </c>
      <c r="C17" s="22">
        <f>+B17/$B$15</f>
        <v>0</v>
      </c>
      <c r="E17" s="20" t="s">
        <v>36</v>
      </c>
      <c r="F17" s="21">
        <f>+conjurisd!B15</f>
        <v>28875590</v>
      </c>
      <c r="G17" s="22">
        <v>4.2000000000000003E-2</v>
      </c>
      <c r="J17" s="7"/>
    </row>
    <row r="18" spans="1:10" s="7" customFormat="1">
      <c r="A18" s="7" t="s">
        <v>9</v>
      </c>
      <c r="B18" s="11">
        <f>SUM(B19:B21)</f>
        <v>224881890</v>
      </c>
      <c r="C18" s="17">
        <f>+B18/$B$31</f>
        <v>0.36109204569625752</v>
      </c>
      <c r="E18" s="20" t="s">
        <v>37</v>
      </c>
      <c r="F18" s="21">
        <f>+conjurisd!B16</f>
        <v>169171620</v>
      </c>
      <c r="G18" s="22">
        <v>0.24610000000000001</v>
      </c>
    </row>
    <row r="19" spans="1:10" s="20" customFormat="1">
      <c r="A19" s="20" t="s">
        <v>10</v>
      </c>
      <c r="B19" s="21">
        <f>+recursos!H47</f>
        <v>224881890</v>
      </c>
      <c r="C19" s="22">
        <f>+B19/$B$18</f>
        <v>1</v>
      </c>
      <c r="E19" s="20" t="s">
        <v>38</v>
      </c>
      <c r="F19" s="21">
        <f>+conjurisd!B17</f>
        <v>833650</v>
      </c>
      <c r="G19" s="22">
        <v>1.1999999999999999E-3</v>
      </c>
      <c r="J19" s="7"/>
    </row>
    <row r="20" spans="1:10" s="20" customFormat="1">
      <c r="A20" s="20" t="s">
        <v>13</v>
      </c>
      <c r="B20" s="21">
        <v>0</v>
      </c>
      <c r="C20" s="22">
        <f>+B20/$B$18</f>
        <v>0</v>
      </c>
      <c r="E20" s="20" t="s">
        <v>39</v>
      </c>
      <c r="F20" s="21">
        <f>+conjurisd!B18</f>
        <v>7033720</v>
      </c>
      <c r="G20" s="22">
        <v>1.0200000000000001E-2</v>
      </c>
      <c r="J20" s="7"/>
    </row>
    <row r="21" spans="1:10" s="20" customFormat="1">
      <c r="A21" s="20" t="s">
        <v>11</v>
      </c>
      <c r="B21" s="21">
        <f>+recursos!H50</f>
        <v>0</v>
      </c>
      <c r="C21" s="22">
        <f>+B21/$B$18</f>
        <v>0</v>
      </c>
      <c r="E21" s="18" t="s">
        <v>40</v>
      </c>
      <c r="F21" s="13">
        <v>154638930</v>
      </c>
      <c r="G21" s="15">
        <v>0.22489999999999999</v>
      </c>
      <c r="J21" s="7"/>
    </row>
    <row r="22" spans="1:10">
      <c r="A22" s="7" t="s">
        <v>12</v>
      </c>
      <c r="B22" s="11">
        <f>SUM(B23:B24)</f>
        <v>102674540</v>
      </c>
      <c r="C22" s="17">
        <f>+B22/$B$31</f>
        <v>0.16486414130334026</v>
      </c>
      <c r="E22" s="20" t="s">
        <v>41</v>
      </c>
      <c r="F22" s="21">
        <f>+conjurisd!B20</f>
        <v>12214990</v>
      </c>
      <c r="G22" s="22">
        <f t="shared" ref="G22:G28" si="0">+F22/$F$31</f>
        <v>1.776755305858967E-2</v>
      </c>
    </row>
    <row r="23" spans="1:10" s="20" customFormat="1" ht="12.75">
      <c r="A23" s="20" t="s">
        <v>14</v>
      </c>
      <c r="B23" s="21">
        <f>+recursos!H56</f>
        <v>81648240</v>
      </c>
      <c r="C23" s="22">
        <f>+B23/$B$22</f>
        <v>0.79521408130973847</v>
      </c>
      <c r="E23" s="20" t="s">
        <v>42</v>
      </c>
      <c r="F23" s="21">
        <f>+conjurisd!B21</f>
        <v>138762330</v>
      </c>
      <c r="G23" s="22">
        <f t="shared" si="0"/>
        <v>0.20183946616481299</v>
      </c>
    </row>
    <row r="24" spans="1:10" s="20" customFormat="1" ht="12.75">
      <c r="A24" s="20" t="s">
        <v>15</v>
      </c>
      <c r="B24" s="21">
        <f>+recursos!H85</f>
        <v>21026300</v>
      </c>
      <c r="C24" s="22">
        <f>+B24/$B$22</f>
        <v>0.20478591869026147</v>
      </c>
      <c r="E24" s="20" t="s">
        <v>44</v>
      </c>
      <c r="F24" s="21">
        <v>2276690</v>
      </c>
      <c r="G24" s="22">
        <f t="shared" si="0"/>
        <v>3.3116040514941493E-3</v>
      </c>
    </row>
    <row r="25" spans="1:10" s="10" customFormat="1">
      <c r="A25" s="18" t="s">
        <v>16</v>
      </c>
      <c r="B25" s="12">
        <f>SUM(B26:B30)</f>
        <v>15317490</v>
      </c>
      <c r="C25" s="15">
        <f>+B25/B31</f>
        <v>2.459523885641466E-2</v>
      </c>
      <c r="E25" s="20" t="s">
        <v>43</v>
      </c>
      <c r="F25" s="21">
        <f>+conjurisd!B23</f>
        <v>1384920</v>
      </c>
      <c r="G25" s="22">
        <f t="shared" si="0"/>
        <v>2.0144625236616655E-3</v>
      </c>
    </row>
    <row r="26" spans="1:10" s="20" customFormat="1">
      <c r="A26" s="20" t="s">
        <v>17</v>
      </c>
      <c r="B26" s="21">
        <f>+recursos!H127</f>
        <v>0</v>
      </c>
      <c r="C26" s="22">
        <f>+B26/$B$25</f>
        <v>0</v>
      </c>
      <c r="E26" s="18" t="s">
        <v>45</v>
      </c>
      <c r="F26" s="13">
        <f>+SUM(F27:F28)</f>
        <v>44552280</v>
      </c>
      <c r="G26" s="15">
        <f>+F26/$F$31</f>
        <v>6.4804391880889253E-2</v>
      </c>
    </row>
    <row r="27" spans="1:10" s="20" customFormat="1" ht="12.75">
      <c r="A27" s="20" t="s">
        <v>18</v>
      </c>
      <c r="B27" s="21">
        <f>+recursos!H131</f>
        <v>87950</v>
      </c>
      <c r="C27" s="22">
        <f>+B27/$B$25</f>
        <v>5.7418023449011552E-3</v>
      </c>
      <c r="E27" s="20" t="s">
        <v>46</v>
      </c>
      <c r="F27" s="21">
        <f>+'HAC B'!C122</f>
        <v>2230590</v>
      </c>
      <c r="G27" s="22">
        <f t="shared" si="0"/>
        <v>3.2445483931595139E-3</v>
      </c>
    </row>
    <row r="28" spans="1:10" s="20" customFormat="1" ht="12.75">
      <c r="A28" s="20" t="s">
        <v>19</v>
      </c>
      <c r="B28" s="21">
        <f>+recursos!H143</f>
        <v>0</v>
      </c>
      <c r="C28" s="22">
        <f>+B28/$B$25</f>
        <v>0</v>
      </c>
      <c r="E28" s="20" t="s">
        <v>47</v>
      </c>
      <c r="F28" s="21">
        <f>+'HAC B'!C123</f>
        <v>42321690</v>
      </c>
      <c r="G28" s="22">
        <f t="shared" si="0"/>
        <v>6.1559843487729742E-2</v>
      </c>
      <c r="I28" s="311"/>
    </row>
    <row r="29" spans="1:10" s="20" customFormat="1" ht="12.75">
      <c r="A29" s="20" t="s">
        <v>20</v>
      </c>
      <c r="B29" s="21">
        <f>+recursos!H145</f>
        <v>0</v>
      </c>
      <c r="C29" s="22">
        <f>+B29/$B$25</f>
        <v>0</v>
      </c>
    </row>
    <row r="30" spans="1:10" s="20" customFormat="1" ht="12.75">
      <c r="A30" s="20" t="s">
        <v>21</v>
      </c>
      <c r="B30" s="21">
        <f>+recursos!H146</f>
        <v>15229540</v>
      </c>
      <c r="C30" s="22">
        <f>+B30/$B$25</f>
        <v>0.99425819765509882</v>
      </c>
      <c r="I30" s="311"/>
    </row>
    <row r="31" spans="1:10" s="10" customFormat="1">
      <c r="A31" s="19" t="s">
        <v>22</v>
      </c>
      <c r="B31" s="13">
        <f>+B14+B25</f>
        <v>622782730</v>
      </c>
      <c r="C31" s="16">
        <f>+B31/$B$41</f>
        <v>0.90588082341846576</v>
      </c>
      <c r="E31" s="19" t="s">
        <v>48</v>
      </c>
      <c r="F31" s="13">
        <f>+F14+F21+F26</f>
        <v>687488590</v>
      </c>
      <c r="G31" s="16">
        <f>+G14+G21+G26</f>
        <v>1.0000043918808892</v>
      </c>
    </row>
    <row r="32" spans="1:10" s="10" customFormat="1">
      <c r="A32" s="18" t="s">
        <v>23</v>
      </c>
      <c r="B32" s="12">
        <f>+B33+B37+B38+B39+B40</f>
        <v>64705860</v>
      </c>
      <c r="C32" s="15">
        <f>+B32/$B$41</f>
        <v>9.411917658153425E-2</v>
      </c>
    </row>
    <row r="33" spans="1:9" s="7" customFormat="1">
      <c r="A33" s="7" t="s">
        <v>24</v>
      </c>
      <c r="B33" s="11">
        <f>SUM(B34:B36)</f>
        <v>32851480</v>
      </c>
      <c r="C33" s="17">
        <f>+B33/$B$32</f>
        <v>0.50770486629804468</v>
      </c>
    </row>
    <row r="34" spans="1:9" s="20" customFormat="1" ht="12.75">
      <c r="A34" s="20" t="s">
        <v>25</v>
      </c>
      <c r="B34" s="21">
        <f>+recursos!H163</f>
        <v>0</v>
      </c>
      <c r="C34" s="22">
        <f>+B34/$B$33</f>
        <v>0</v>
      </c>
    </row>
    <row r="35" spans="1:9" s="20" customFormat="1" ht="12.75">
      <c r="A35" s="20" t="s">
        <v>26</v>
      </c>
      <c r="B35" s="21">
        <f>+recursos!H161</f>
        <v>0</v>
      </c>
      <c r="C35" s="22">
        <f>+B35/$B$33</f>
        <v>0</v>
      </c>
      <c r="F35" s="384"/>
    </row>
    <row r="36" spans="1:9" s="20" customFormat="1" ht="12.75">
      <c r="A36" s="20" t="s">
        <v>729</v>
      </c>
      <c r="B36" s="21">
        <f>+recursos!H164</f>
        <v>32851480</v>
      </c>
      <c r="C36" s="22">
        <f>+B36/$B$33</f>
        <v>1</v>
      </c>
    </row>
    <row r="37" spans="1:9">
      <c r="A37" s="7" t="s">
        <v>28</v>
      </c>
      <c r="B37" s="11">
        <f>+recursos!H165</f>
        <v>0</v>
      </c>
      <c r="C37" s="17">
        <f>+B37/$B$32</f>
        <v>0</v>
      </c>
      <c r="E37" s="389" t="s">
        <v>49</v>
      </c>
      <c r="F37" s="389"/>
    </row>
    <row r="38" spans="1:9">
      <c r="A38" s="7" t="s">
        <v>29</v>
      </c>
      <c r="B38" s="11">
        <f>+recursos!H170</f>
        <v>0</v>
      </c>
      <c r="C38" s="17">
        <f>+B38/$B$32</f>
        <v>0</v>
      </c>
      <c r="H38" s="20"/>
    </row>
    <row r="39" spans="1:9">
      <c r="A39" s="7" t="s">
        <v>30</v>
      </c>
      <c r="B39" s="11">
        <f>+recursos!H171</f>
        <v>29378010</v>
      </c>
      <c r="C39" s="17">
        <f>+B39/$B$32</f>
        <v>0.4540239477537274</v>
      </c>
      <c r="E39" s="10" t="s">
        <v>50</v>
      </c>
      <c r="F39" s="25">
        <f>+B41</f>
        <v>687488590</v>
      </c>
      <c r="H39" s="311"/>
    </row>
    <row r="40" spans="1:9">
      <c r="A40" s="7" t="s">
        <v>31</v>
      </c>
      <c r="B40" s="11">
        <f>+recursos!H172</f>
        <v>2476370</v>
      </c>
      <c r="C40" s="17">
        <f>+B40/$B$32</f>
        <v>3.827118594822787E-2</v>
      </c>
      <c r="E40" s="10" t="s">
        <v>51</v>
      </c>
      <c r="F40" s="25">
        <f>+F31</f>
        <v>687488590</v>
      </c>
      <c r="I40" s="308"/>
    </row>
    <row r="41" spans="1:9" s="10" customFormat="1">
      <c r="A41" s="19" t="s">
        <v>32</v>
      </c>
      <c r="B41" s="13">
        <f>+B32+B31</f>
        <v>687488590</v>
      </c>
      <c r="C41" s="16">
        <f>+C31+C32</f>
        <v>1</v>
      </c>
      <c r="E41" s="14" t="s">
        <v>52</v>
      </c>
      <c r="F41" s="13">
        <f>+F39-F40</f>
        <v>0</v>
      </c>
      <c r="G41" s="309"/>
      <c r="I41" s="360"/>
    </row>
    <row r="42" spans="1:9">
      <c r="I42" s="308"/>
    </row>
    <row r="43" spans="1:9">
      <c r="I43" s="308"/>
    </row>
    <row r="44" spans="1:9">
      <c r="F44" s="308"/>
      <c r="I44" s="308"/>
    </row>
    <row r="45" spans="1:9">
      <c r="I45" s="308"/>
    </row>
    <row r="46" spans="1:9">
      <c r="I46" s="308"/>
    </row>
  </sheetData>
  <mergeCells count="4">
    <mergeCell ref="E37:F37"/>
    <mergeCell ref="A8:G8"/>
    <mergeCell ref="A9:G9"/>
    <mergeCell ref="A10:G10"/>
  </mergeCells>
  <printOptions horizontalCentered="1"/>
  <pageMargins left="0" right="0" top="0.34" bottom="0.55118110236220474" header="0.25"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dimension ref="A1:L31"/>
  <sheetViews>
    <sheetView zoomScale="80" zoomScaleNormal="80" workbookViewId="0">
      <selection activeCell="C26" sqref="C26"/>
    </sheetView>
  </sheetViews>
  <sheetFormatPr baseColWidth="10" defaultRowHeight="15"/>
  <cols>
    <col min="1" max="1" width="32.5703125" customWidth="1"/>
    <col min="2" max="2" width="13.7109375" bestFit="1" customWidth="1"/>
    <col min="3" max="3" width="14.85546875" bestFit="1" customWidth="1"/>
    <col min="4" max="4" width="18.7109375" bestFit="1" customWidth="1"/>
    <col min="5" max="5" width="12.7109375" bestFit="1" customWidth="1"/>
    <col min="6" max="6" width="12.28515625" bestFit="1" customWidth="1"/>
    <col min="7" max="7" width="12.7109375" bestFit="1" customWidth="1"/>
    <col min="8" max="8" width="13.140625" bestFit="1" customWidth="1"/>
    <col min="9" max="9" width="13.7109375" bestFit="1" customWidth="1"/>
    <col min="10" max="10" width="18.85546875" bestFit="1" customWidth="1"/>
    <col min="11" max="11" width="12.7109375" bestFit="1" customWidth="1"/>
    <col min="12" max="12" width="13.7109375" bestFit="1" customWidth="1"/>
  </cols>
  <sheetData>
    <row r="1" spans="1:12" s="1" customFormat="1" ht="15" customHeight="1">
      <c r="A1"/>
    </row>
    <row r="2" spans="1:12" s="1" customFormat="1" ht="15" customHeight="1"/>
    <row r="3" spans="1:12" s="1" customFormat="1" ht="15" customHeight="1"/>
    <row r="4" spans="1:12" s="1" customFormat="1" ht="15" customHeight="1"/>
    <row r="5" spans="1:12" s="1" customFormat="1" ht="15" customHeight="1" thickBot="1">
      <c r="A5" s="6"/>
      <c r="B5" s="6"/>
      <c r="C5" s="6"/>
      <c r="D5" s="6"/>
      <c r="E5" s="6"/>
      <c r="F5" s="6"/>
      <c r="G5" s="6"/>
      <c r="H5" s="6"/>
      <c r="I5" s="6"/>
      <c r="J5" s="6"/>
      <c r="K5" s="6"/>
      <c r="L5" s="6"/>
    </row>
    <row r="6" spans="1:12" ht="7.5" customHeight="1" thickTop="1"/>
    <row r="7" spans="1:12" s="20" customFormat="1" ht="12.75">
      <c r="A7" s="20" t="s">
        <v>867</v>
      </c>
    </row>
    <row r="8" spans="1:12">
      <c r="A8" s="390" t="s">
        <v>747</v>
      </c>
      <c r="B8" s="390"/>
      <c r="C8" s="390"/>
      <c r="D8" s="390"/>
      <c r="E8" s="390"/>
      <c r="F8" s="390"/>
      <c r="G8" s="390"/>
      <c r="H8" s="390"/>
      <c r="I8" s="390"/>
      <c r="J8" s="390"/>
      <c r="K8" s="390"/>
      <c r="L8" s="390"/>
    </row>
    <row r="9" spans="1:12">
      <c r="A9" s="390" t="s">
        <v>238</v>
      </c>
      <c r="B9" s="390"/>
      <c r="C9" s="390"/>
      <c r="D9" s="390"/>
      <c r="E9" s="390"/>
      <c r="F9" s="390"/>
      <c r="G9" s="390"/>
      <c r="H9" s="390"/>
      <c r="I9" s="390"/>
      <c r="J9" s="390"/>
      <c r="K9" s="390"/>
      <c r="L9" s="390"/>
    </row>
    <row r="10" spans="1:12">
      <c r="A10" s="391" t="s">
        <v>267</v>
      </c>
      <c r="B10" s="391"/>
      <c r="C10" s="391"/>
      <c r="D10" s="391"/>
      <c r="E10" s="391"/>
      <c r="F10" s="391"/>
      <c r="G10" s="391"/>
      <c r="H10" s="391"/>
      <c r="I10" s="391"/>
      <c r="J10" s="391"/>
      <c r="K10" s="391"/>
      <c r="L10" s="391"/>
    </row>
    <row r="11" spans="1:12" ht="7.5" customHeight="1"/>
    <row r="12" spans="1:12" s="9" customFormat="1" ht="12">
      <c r="A12" s="71" t="s">
        <v>3</v>
      </c>
      <c r="B12" s="71" t="s">
        <v>239</v>
      </c>
      <c r="C12" s="71" t="s">
        <v>269</v>
      </c>
      <c r="D12" s="71" t="s">
        <v>270</v>
      </c>
      <c r="E12" s="71" t="s">
        <v>271</v>
      </c>
      <c r="F12" s="71" t="s">
        <v>272</v>
      </c>
      <c r="G12" s="71" t="s">
        <v>273</v>
      </c>
      <c r="H12" s="71" t="s">
        <v>274</v>
      </c>
      <c r="I12" s="71" t="s">
        <v>275</v>
      </c>
      <c r="J12" s="71" t="s">
        <v>276</v>
      </c>
      <c r="K12" s="71" t="s">
        <v>277</v>
      </c>
      <c r="L12" s="71" t="s">
        <v>537</v>
      </c>
    </row>
    <row r="13" spans="1:12" s="80" customFormat="1">
      <c r="C13" s="80">
        <v>211</v>
      </c>
      <c r="D13" s="80">
        <v>213</v>
      </c>
      <c r="E13" s="80">
        <v>221</v>
      </c>
      <c r="F13" s="80">
        <v>231</v>
      </c>
      <c r="G13" s="80">
        <v>241</v>
      </c>
      <c r="H13" s="80">
        <v>244</v>
      </c>
      <c r="I13" s="80">
        <v>251</v>
      </c>
      <c r="J13" s="80">
        <v>261</v>
      </c>
      <c r="K13" s="80">
        <v>281</v>
      </c>
      <c r="L13" s="80">
        <v>291</v>
      </c>
    </row>
    <row r="14" spans="1:12" s="7" customFormat="1">
      <c r="A14" s="67" t="s">
        <v>245</v>
      </c>
      <c r="B14" s="72">
        <f>+B15+B21+B22</f>
        <v>150502830</v>
      </c>
      <c r="C14" s="72">
        <f>+C15+C21+C22</f>
        <v>6865360</v>
      </c>
      <c r="D14" s="72">
        <f t="shared" ref="D14:L14" si="0">+D15+D21+D22</f>
        <v>5176610</v>
      </c>
      <c r="E14" s="72">
        <f t="shared" si="0"/>
        <v>13765210</v>
      </c>
      <c r="F14" s="72">
        <f t="shared" si="0"/>
        <v>20561530</v>
      </c>
      <c r="G14" s="72">
        <f t="shared" si="0"/>
        <v>22888230</v>
      </c>
      <c r="H14" s="72">
        <f t="shared" si="0"/>
        <v>6115840</v>
      </c>
      <c r="I14" s="72">
        <f t="shared" si="0"/>
        <v>12164710</v>
      </c>
      <c r="J14" s="72">
        <f t="shared" si="0"/>
        <v>39781380</v>
      </c>
      <c r="K14" s="72">
        <f t="shared" si="0"/>
        <v>14263500</v>
      </c>
      <c r="L14" s="72">
        <f t="shared" si="0"/>
        <v>8920460</v>
      </c>
    </row>
    <row r="15" spans="1:12" s="83" customFormat="1">
      <c r="A15" s="10" t="s">
        <v>281</v>
      </c>
      <c r="B15" s="81">
        <f>+B16+B19+B20</f>
        <v>147868970</v>
      </c>
      <c r="C15" s="82">
        <f>+C16+C19+C20</f>
        <v>5935710</v>
      </c>
      <c r="D15" s="82">
        <f t="shared" ref="D15:L15" si="1">+D16+D19+D20</f>
        <v>5176610</v>
      </c>
      <c r="E15" s="82">
        <f t="shared" si="1"/>
        <v>13765210</v>
      </c>
      <c r="F15" s="82">
        <f t="shared" si="1"/>
        <v>20561530</v>
      </c>
      <c r="G15" s="82">
        <f t="shared" si="1"/>
        <v>22888230</v>
      </c>
      <c r="H15" s="82">
        <f t="shared" si="1"/>
        <v>6115840</v>
      </c>
      <c r="I15" s="82">
        <f t="shared" si="1"/>
        <v>10460500</v>
      </c>
      <c r="J15" s="82">
        <f t="shared" si="1"/>
        <v>39781380</v>
      </c>
      <c r="K15" s="82">
        <f t="shared" si="1"/>
        <v>14263500</v>
      </c>
      <c r="L15" s="82">
        <f t="shared" si="1"/>
        <v>8920460</v>
      </c>
    </row>
    <row r="16" spans="1:12">
      <c r="A16" s="7" t="s">
        <v>246</v>
      </c>
      <c r="B16" s="70">
        <f>+B17+B18</f>
        <v>102828190</v>
      </c>
      <c r="C16" s="76">
        <f>+C17+C18</f>
        <v>3548700</v>
      </c>
      <c r="D16" s="88">
        <f t="shared" ref="D16:L16" si="2">+D17+D18</f>
        <v>2840800</v>
      </c>
      <c r="E16" s="88">
        <f t="shared" si="2"/>
        <v>11598910</v>
      </c>
      <c r="F16" s="88">
        <f t="shared" si="2"/>
        <v>18455650</v>
      </c>
      <c r="G16" s="88">
        <f t="shared" si="2"/>
        <v>8839940</v>
      </c>
      <c r="H16" s="88">
        <f t="shared" si="2"/>
        <v>3803290</v>
      </c>
      <c r="I16" s="88">
        <f t="shared" si="2"/>
        <v>5848630</v>
      </c>
      <c r="J16" s="88">
        <f t="shared" si="2"/>
        <v>28177560</v>
      </c>
      <c r="K16" s="88">
        <f t="shared" si="2"/>
        <v>12127990</v>
      </c>
      <c r="L16" s="88">
        <f t="shared" si="2"/>
        <v>7586720</v>
      </c>
    </row>
    <row r="17" spans="1:12" s="20" customFormat="1" ht="12.75">
      <c r="A17" s="20" t="s">
        <v>279</v>
      </c>
      <c r="B17" s="84">
        <f>SUM(C17:L17)</f>
        <v>87075270</v>
      </c>
      <c r="C17" s="85">
        <f>+'GOB B'!D28</f>
        <v>3090850</v>
      </c>
      <c r="D17" s="85">
        <f>+'GOB B'!E28</f>
        <v>2773230</v>
      </c>
      <c r="E17" s="85">
        <f>+'GOB B'!F28</f>
        <v>11405480</v>
      </c>
      <c r="F17" s="85">
        <f>+'GOB B'!G28</f>
        <v>9517030</v>
      </c>
      <c r="G17" s="85">
        <f>+'GOB B'!H28</f>
        <v>6433060</v>
      </c>
      <c r="H17" s="85">
        <f>+'GOB B'!I28</f>
        <v>3435060</v>
      </c>
      <c r="I17" s="85">
        <f>+'GOB B'!J28</f>
        <v>5265670</v>
      </c>
      <c r="J17" s="85">
        <f>+'GOB B'!K28</f>
        <v>25799700</v>
      </c>
      <c r="K17" s="85">
        <f>+'GOB B'!L28</f>
        <v>11768470</v>
      </c>
      <c r="L17" s="85">
        <f>+'GOB B'!M28</f>
        <v>7586720</v>
      </c>
    </row>
    <row r="18" spans="1:12" s="20" customFormat="1" ht="12.75">
      <c r="A18" s="20" t="s">
        <v>280</v>
      </c>
      <c r="B18" s="84">
        <f>SUM(C18:L18)</f>
        <v>15752920</v>
      </c>
      <c r="C18" s="85">
        <f>+'GOB B'!D46</f>
        <v>457850</v>
      </c>
      <c r="D18" s="85">
        <f>+'GOB B'!E46</f>
        <v>67570</v>
      </c>
      <c r="E18" s="85">
        <f>+'GOB B'!F46</f>
        <v>193430</v>
      </c>
      <c r="F18" s="85">
        <f>+'GOB B'!G46</f>
        <v>8938620</v>
      </c>
      <c r="G18" s="85">
        <f>+'GOB B'!H46</f>
        <v>2406880</v>
      </c>
      <c r="H18" s="85">
        <f>+'GOB B'!I46</f>
        <v>368230</v>
      </c>
      <c r="I18" s="85">
        <f>+'GOB B'!J46</f>
        <v>582960</v>
      </c>
      <c r="J18" s="85">
        <f>+'GOB B'!K46</f>
        <v>2377860</v>
      </c>
      <c r="K18" s="85">
        <f>+'GOB B'!L46</f>
        <v>359520</v>
      </c>
      <c r="L18" s="85">
        <f>+'GOB B'!M46</f>
        <v>0</v>
      </c>
    </row>
    <row r="19" spans="1:12">
      <c r="A19" s="7" t="s">
        <v>247</v>
      </c>
      <c r="B19" s="70">
        <f>SUM(C19:L19)</f>
        <v>4333660</v>
      </c>
      <c r="C19" s="76">
        <f>+'GOB B'!D66</f>
        <v>126590</v>
      </c>
      <c r="D19" s="88">
        <f>+'GOB B'!E66</f>
        <v>686750</v>
      </c>
      <c r="E19" s="88">
        <f>+'GOB B'!F66</f>
        <v>423540</v>
      </c>
      <c r="F19" s="88">
        <f>+'GOB B'!G66</f>
        <v>930620</v>
      </c>
      <c r="G19" s="88">
        <f>+'GOB B'!H66</f>
        <v>695030</v>
      </c>
      <c r="H19" s="88">
        <f>+'GOB B'!I66</f>
        <v>350310</v>
      </c>
      <c r="I19" s="88">
        <f>+'GOB B'!J66</f>
        <v>156480</v>
      </c>
      <c r="J19" s="88">
        <f>+'GOB B'!K66</f>
        <v>511090</v>
      </c>
      <c r="K19" s="88">
        <f>+'GOB B'!L66</f>
        <v>339220</v>
      </c>
      <c r="L19" s="88">
        <f>+'GOB B'!M66</f>
        <v>114030</v>
      </c>
    </row>
    <row r="20" spans="1:12">
      <c r="A20" s="7" t="s">
        <v>248</v>
      </c>
      <c r="B20" s="70">
        <f t="shared" ref="B20:B30" si="3">SUM(C20:L20)</f>
        <v>40707120</v>
      </c>
      <c r="C20" s="76">
        <f>+'GOB B'!D92</f>
        <v>2260420</v>
      </c>
      <c r="D20" s="88">
        <f>+'GOB B'!E92</f>
        <v>1649060</v>
      </c>
      <c r="E20" s="88">
        <f>+'GOB B'!F92</f>
        <v>1742760</v>
      </c>
      <c r="F20" s="88">
        <f>+'GOB B'!G92</f>
        <v>1175260</v>
      </c>
      <c r="G20" s="88">
        <f>+'GOB B'!H92</f>
        <v>13353260</v>
      </c>
      <c r="H20" s="88">
        <f>+'GOB B'!I92</f>
        <v>1962240</v>
      </c>
      <c r="I20" s="88">
        <f>+'GOB B'!J92</f>
        <v>4455390</v>
      </c>
      <c r="J20" s="88">
        <f>+'GOB B'!K92</f>
        <v>11092730</v>
      </c>
      <c r="K20" s="88">
        <f>+'GOB B'!L92</f>
        <v>1796290</v>
      </c>
      <c r="L20" s="88">
        <f>+'GOB B'!M92</f>
        <v>1219710</v>
      </c>
    </row>
    <row r="21" spans="1:12">
      <c r="A21" s="7" t="s">
        <v>249</v>
      </c>
      <c r="B21" s="70">
        <f t="shared" si="3"/>
        <v>0</v>
      </c>
      <c r="C21" s="76">
        <f>+'GOB B'!D111</f>
        <v>0</v>
      </c>
      <c r="D21" s="76">
        <f>+'GOB B'!E111</f>
        <v>0</v>
      </c>
      <c r="E21" s="76">
        <f>+'GOB B'!F111</f>
        <v>0</v>
      </c>
      <c r="F21" s="76">
        <f>+'GOB B'!G111</f>
        <v>0</v>
      </c>
      <c r="G21" s="76">
        <f>+'GOB B'!H111</f>
        <v>0</v>
      </c>
      <c r="H21" s="76">
        <f>+'GOB B'!I111</f>
        <v>0</v>
      </c>
      <c r="I21" s="76">
        <f>+'GOB B'!J111</f>
        <v>0</v>
      </c>
      <c r="J21" s="76">
        <f>+'GOB B'!K111</f>
        <v>0</v>
      </c>
      <c r="K21" s="76">
        <f>+'GOB B'!L111</f>
        <v>0</v>
      </c>
      <c r="L21" s="76">
        <f>+'GOB B'!M111</f>
        <v>0</v>
      </c>
    </row>
    <row r="22" spans="1:12">
      <c r="A22" s="7" t="s">
        <v>250</v>
      </c>
      <c r="B22" s="70">
        <f t="shared" si="3"/>
        <v>2633860</v>
      </c>
      <c r="C22" s="76">
        <f>+'GOB B'!D113</f>
        <v>929650</v>
      </c>
      <c r="D22" s="76">
        <f>+'GOB B'!E113</f>
        <v>0</v>
      </c>
      <c r="E22" s="76">
        <f>+'GOB B'!F113</f>
        <v>0</v>
      </c>
      <c r="F22" s="76">
        <f>+'GOB B'!G113</f>
        <v>0</v>
      </c>
      <c r="G22" s="76">
        <f>+'GOB B'!H113</f>
        <v>0</v>
      </c>
      <c r="H22" s="76">
        <f>+'GOB B'!I113</f>
        <v>0</v>
      </c>
      <c r="I22" s="76">
        <f>+'GOB B'!J113</f>
        <v>1704210</v>
      </c>
      <c r="J22" s="76">
        <f>+'GOB B'!K113</f>
        <v>0</v>
      </c>
      <c r="K22" s="76">
        <f>+'GOB B'!L113</f>
        <v>0</v>
      </c>
      <c r="L22" s="76">
        <f>+'GOB B'!M113</f>
        <v>0</v>
      </c>
    </row>
    <row r="23" spans="1:12" s="7" customFormat="1">
      <c r="A23" s="67" t="s">
        <v>251</v>
      </c>
      <c r="B23" s="72">
        <f>+B24+B27+B28</f>
        <v>4183290</v>
      </c>
      <c r="C23" s="72">
        <f>+C24+C27+C28</f>
        <v>204010</v>
      </c>
      <c r="D23" s="72">
        <f t="shared" ref="D23:L23" si="4">+D24+D27+D28</f>
        <v>48000</v>
      </c>
      <c r="E23" s="72">
        <f t="shared" si="4"/>
        <v>467830</v>
      </c>
      <c r="F23" s="72">
        <f t="shared" si="4"/>
        <v>122040</v>
      </c>
      <c r="G23" s="72">
        <f t="shared" si="4"/>
        <v>25970</v>
      </c>
      <c r="H23" s="72">
        <f t="shared" si="4"/>
        <v>76590</v>
      </c>
      <c r="I23" s="72">
        <f t="shared" si="4"/>
        <v>52900</v>
      </c>
      <c r="J23" s="72">
        <f t="shared" si="4"/>
        <v>2017000</v>
      </c>
      <c r="K23" s="72">
        <f t="shared" si="4"/>
        <v>934860</v>
      </c>
      <c r="L23" s="72">
        <f t="shared" si="4"/>
        <v>234090</v>
      </c>
    </row>
    <row r="24" spans="1:12" s="10" customFormat="1">
      <c r="A24" s="10" t="s">
        <v>282</v>
      </c>
      <c r="B24" s="70">
        <f>+B25+B26</f>
        <v>3967830</v>
      </c>
      <c r="C24" s="82">
        <f>+C25+C26</f>
        <v>204010</v>
      </c>
      <c r="D24" s="82">
        <f t="shared" ref="D24:L24" si="5">+D25+D26</f>
        <v>48000</v>
      </c>
      <c r="E24" s="82">
        <f t="shared" si="5"/>
        <v>467830</v>
      </c>
      <c r="F24" s="82">
        <f t="shared" si="5"/>
        <v>122040</v>
      </c>
      <c r="G24" s="82">
        <f t="shared" si="5"/>
        <v>25970</v>
      </c>
      <c r="H24" s="82">
        <f t="shared" si="5"/>
        <v>76590</v>
      </c>
      <c r="I24" s="82">
        <f t="shared" si="5"/>
        <v>52900</v>
      </c>
      <c r="J24" s="82">
        <f t="shared" si="5"/>
        <v>2017000</v>
      </c>
      <c r="K24" s="82">
        <f t="shared" si="5"/>
        <v>934860</v>
      </c>
      <c r="L24" s="82">
        <f t="shared" si="5"/>
        <v>18630</v>
      </c>
    </row>
    <row r="25" spans="1:12">
      <c r="A25" s="7" t="s">
        <v>252</v>
      </c>
      <c r="B25" s="70">
        <f t="shared" si="3"/>
        <v>3967830</v>
      </c>
      <c r="C25" s="76">
        <f>+'GOB B'!D107</f>
        <v>204010</v>
      </c>
      <c r="D25" s="76">
        <f>+'GOB B'!E107</f>
        <v>48000</v>
      </c>
      <c r="E25" s="88">
        <f>+'GOB B'!F107</f>
        <v>467830</v>
      </c>
      <c r="F25" s="88">
        <f>+'GOB B'!G107</f>
        <v>122040</v>
      </c>
      <c r="G25" s="88">
        <f>+'GOB B'!H107</f>
        <v>25970</v>
      </c>
      <c r="H25" s="88">
        <f>+'GOB B'!I107</f>
        <v>76590</v>
      </c>
      <c r="I25" s="88">
        <f>+'GOB B'!J107</f>
        <v>52900</v>
      </c>
      <c r="J25" s="88">
        <f>+'GOB B'!K107</f>
        <v>2017000</v>
      </c>
      <c r="K25" s="88">
        <f>+'GOB B'!L107</f>
        <v>934860</v>
      </c>
      <c r="L25" s="76">
        <f>+'GOB B'!M107</f>
        <v>18630</v>
      </c>
    </row>
    <row r="26" spans="1:12">
      <c r="A26" s="7" t="s">
        <v>253</v>
      </c>
      <c r="B26" s="70">
        <f t="shared" si="3"/>
        <v>0</v>
      </c>
      <c r="C26" s="76"/>
      <c r="D26" s="76">
        <f>+'GOB B'!E115</f>
        <v>0</v>
      </c>
      <c r="E26" s="76">
        <f>+'GOB B'!F115</f>
        <v>0</v>
      </c>
      <c r="F26" s="76">
        <f>+'GOB B'!G115</f>
        <v>0</v>
      </c>
      <c r="G26" s="76">
        <f>+'GOB B'!H115</f>
        <v>0</v>
      </c>
      <c r="H26" s="76">
        <f>+'GOB B'!I115</f>
        <v>0</v>
      </c>
      <c r="I26" s="76">
        <f>+'GOB B'!J115</f>
        <v>0</v>
      </c>
      <c r="J26" s="76">
        <f>+'GOB B'!K115</f>
        <v>0</v>
      </c>
      <c r="K26" s="76">
        <f>+'GOB B'!L115</f>
        <v>0</v>
      </c>
      <c r="L26" s="76">
        <f>+'GOB B'!M115</f>
        <v>0</v>
      </c>
    </row>
    <row r="27" spans="1:12">
      <c r="A27" s="7" t="s">
        <v>254</v>
      </c>
      <c r="B27" s="70">
        <f t="shared" si="3"/>
        <v>215460</v>
      </c>
      <c r="C27" s="76">
        <f>+'GOB B'!D117</f>
        <v>0</v>
      </c>
      <c r="D27" s="76">
        <f>+'GOB B'!E117</f>
        <v>0</v>
      </c>
      <c r="E27" s="76">
        <f>+'GOB B'!F117</f>
        <v>0</v>
      </c>
      <c r="F27" s="76">
        <f>+'GOB B'!G117</f>
        <v>0</v>
      </c>
      <c r="G27" s="76">
        <f>+'GOB B'!H117</f>
        <v>0</v>
      </c>
      <c r="H27" s="76">
        <f>+'GOB B'!I117</f>
        <v>0</v>
      </c>
      <c r="I27" s="76">
        <f>+'GOB B'!J117</f>
        <v>0</v>
      </c>
      <c r="J27" s="76">
        <f>+'GOB B'!K117</f>
        <v>0</v>
      </c>
      <c r="K27" s="76">
        <f>+'GOB B'!L117</f>
        <v>0</v>
      </c>
      <c r="L27" s="76">
        <f>+'GOB B'!M117</f>
        <v>215460</v>
      </c>
    </row>
    <row r="28" spans="1:12">
      <c r="A28" s="7" t="s">
        <v>255</v>
      </c>
      <c r="B28" s="70">
        <f t="shared" si="3"/>
        <v>0</v>
      </c>
      <c r="C28" s="76">
        <f>+'GOB B'!D119</f>
        <v>0</v>
      </c>
      <c r="D28" s="76">
        <f>+'GOB B'!E119</f>
        <v>0</v>
      </c>
      <c r="E28" s="76">
        <f>+'GOB B'!F119</f>
        <v>0</v>
      </c>
      <c r="F28" s="76">
        <f>+'GOB B'!G119</f>
        <v>0</v>
      </c>
      <c r="G28" s="76">
        <f>+'GOB B'!H119</f>
        <v>0</v>
      </c>
      <c r="H28" s="76">
        <f>+'GOB B'!I119</f>
        <v>0</v>
      </c>
      <c r="I28" s="76">
        <f>+'GOB B'!J119</f>
        <v>0</v>
      </c>
      <c r="J28" s="76">
        <f>+'GOB B'!K119</f>
        <v>0</v>
      </c>
      <c r="K28" s="76">
        <f>+'GOB B'!L119</f>
        <v>0</v>
      </c>
      <c r="L28" s="76">
        <f>+'GOB B'!M119</f>
        <v>0</v>
      </c>
    </row>
    <row r="29" spans="1:12" s="7" customFormat="1">
      <c r="A29" s="67" t="s">
        <v>45</v>
      </c>
      <c r="B29" s="72">
        <f>+B30</f>
        <v>0</v>
      </c>
      <c r="C29" s="72">
        <f t="shared" ref="C29:L29" si="6">+C30</f>
        <v>0</v>
      </c>
      <c r="D29" s="72">
        <f t="shared" si="6"/>
        <v>0</v>
      </c>
      <c r="E29" s="72">
        <f t="shared" si="6"/>
        <v>0</v>
      </c>
      <c r="F29" s="72">
        <f t="shared" si="6"/>
        <v>0</v>
      </c>
      <c r="G29" s="72">
        <f t="shared" si="6"/>
        <v>0</v>
      </c>
      <c r="H29" s="72">
        <f t="shared" si="6"/>
        <v>0</v>
      </c>
      <c r="I29" s="72">
        <f t="shared" si="6"/>
        <v>0</v>
      </c>
      <c r="J29" s="72">
        <f t="shared" si="6"/>
        <v>0</v>
      </c>
      <c r="K29" s="72">
        <f t="shared" si="6"/>
        <v>0</v>
      </c>
      <c r="L29" s="72">
        <f t="shared" si="6"/>
        <v>0</v>
      </c>
    </row>
    <row r="30" spans="1:12">
      <c r="A30" t="s">
        <v>256</v>
      </c>
      <c r="B30" s="70">
        <f t="shared" si="3"/>
        <v>0</v>
      </c>
      <c r="C30" s="76">
        <f>+'GOB B'!D121</f>
        <v>0</v>
      </c>
      <c r="D30" s="76">
        <f>+'GOB B'!E121</f>
        <v>0</v>
      </c>
      <c r="E30" s="76">
        <f>+'GOB B'!F121</f>
        <v>0</v>
      </c>
      <c r="F30" s="76">
        <f>+'GOB B'!G121</f>
        <v>0</v>
      </c>
      <c r="G30" s="76">
        <f>+'GOB B'!H121</f>
        <v>0</v>
      </c>
      <c r="H30" s="76">
        <f>+'GOB B'!I121</f>
        <v>0</v>
      </c>
      <c r="I30" s="76">
        <f>+'GOB B'!J121</f>
        <v>0</v>
      </c>
      <c r="J30" s="76">
        <f>+'GOB B'!K121</f>
        <v>0</v>
      </c>
      <c r="K30" s="76">
        <f>+'GOB B'!L121</f>
        <v>0</v>
      </c>
      <c r="L30" s="76">
        <f>+'GOB B'!M121</f>
        <v>0</v>
      </c>
    </row>
    <row r="31" spans="1:12" s="7" customFormat="1">
      <c r="A31" s="69" t="s">
        <v>48</v>
      </c>
      <c r="B31" s="72">
        <f t="shared" ref="B31:L31" si="7">+B14+B23+B29</f>
        <v>154686120</v>
      </c>
      <c r="C31" s="72">
        <f t="shared" si="7"/>
        <v>7069370</v>
      </c>
      <c r="D31" s="72">
        <f t="shared" si="7"/>
        <v>5224610</v>
      </c>
      <c r="E31" s="72">
        <f t="shared" si="7"/>
        <v>14233040</v>
      </c>
      <c r="F31" s="72">
        <f t="shared" si="7"/>
        <v>20683570</v>
      </c>
      <c r="G31" s="72">
        <f t="shared" si="7"/>
        <v>22914200</v>
      </c>
      <c r="H31" s="72">
        <f t="shared" si="7"/>
        <v>6192430</v>
      </c>
      <c r="I31" s="72">
        <f t="shared" si="7"/>
        <v>12217610</v>
      </c>
      <c r="J31" s="72">
        <f t="shared" si="7"/>
        <v>41798380</v>
      </c>
      <c r="K31" s="72">
        <f t="shared" si="7"/>
        <v>15198360</v>
      </c>
      <c r="L31" s="72">
        <f t="shared" si="7"/>
        <v>9154550</v>
      </c>
    </row>
  </sheetData>
  <mergeCells count="3">
    <mergeCell ref="A8:L8"/>
    <mergeCell ref="A9:L9"/>
    <mergeCell ref="A10:L10"/>
  </mergeCells>
  <printOptions horizontalCentered="1"/>
  <pageMargins left="0" right="0" top="0.74803149606299213" bottom="0" header="0.31496062992125984" footer="0.31496062992125984"/>
  <pageSetup paperSize="9" scale="65" orientation="landscape" r:id="rId1"/>
  <drawing r:id="rId2"/>
</worksheet>
</file>

<file path=xl/worksheets/sheet11.xml><?xml version="1.0" encoding="utf-8"?>
<worksheet xmlns="http://schemas.openxmlformats.org/spreadsheetml/2006/main" xmlns:r="http://schemas.openxmlformats.org/officeDocument/2006/relationships">
  <dimension ref="A1:O128"/>
  <sheetViews>
    <sheetView zoomScale="70" zoomScaleNormal="70" workbookViewId="0">
      <selection activeCell="D115" sqref="D115"/>
    </sheetView>
  </sheetViews>
  <sheetFormatPr baseColWidth="10" defaultRowHeight="15"/>
  <cols>
    <col min="1" max="1" width="6.85546875" bestFit="1" customWidth="1"/>
    <col min="2" max="2" width="37.140625" bestFit="1" customWidth="1"/>
    <col min="3" max="3" width="16.28515625" bestFit="1" customWidth="1"/>
    <col min="4" max="4" width="14.85546875" bestFit="1" customWidth="1"/>
    <col min="5" max="5" width="19.28515625" bestFit="1" customWidth="1"/>
    <col min="6" max="7" width="14.85546875" bestFit="1" customWidth="1"/>
    <col min="8" max="8" width="15.85546875" bestFit="1" customWidth="1"/>
    <col min="9" max="10" width="14.85546875" bestFit="1" customWidth="1"/>
    <col min="11" max="11" width="20.140625" bestFit="1" customWidth="1"/>
    <col min="12" max="12" width="14.85546875" bestFit="1" customWidth="1"/>
    <col min="13" max="13" width="17.28515625" bestFit="1" customWidth="1"/>
    <col min="15" max="15" width="12.5703125" bestFit="1" customWidth="1"/>
  </cols>
  <sheetData>
    <row r="1" spans="1:13" s="1" customFormat="1" ht="15" customHeight="1">
      <c r="B1"/>
    </row>
    <row r="2" spans="1:13" s="1" customFormat="1" ht="15" customHeight="1"/>
    <row r="3" spans="1:13" s="1" customFormat="1" ht="15" customHeight="1"/>
    <row r="4" spans="1:13" s="1" customFormat="1" ht="15" customHeight="1"/>
    <row r="5" spans="1:13" s="1" customFormat="1" ht="15" customHeight="1" thickBot="1">
      <c r="A5" s="6"/>
      <c r="B5" s="6"/>
      <c r="C5" s="6"/>
      <c r="D5" s="6"/>
      <c r="E5" s="6"/>
      <c r="F5" s="6"/>
      <c r="G5" s="6"/>
      <c r="H5" s="6"/>
      <c r="I5" s="6"/>
      <c r="J5" s="6"/>
      <c r="K5" s="6"/>
      <c r="L5" s="6"/>
      <c r="M5" s="6"/>
    </row>
    <row r="6" spans="1:13" ht="7.5" customHeight="1" thickTop="1"/>
    <row r="7" spans="1:13" s="20" customFormat="1" ht="12.75">
      <c r="B7" s="20" t="s">
        <v>867</v>
      </c>
    </row>
    <row r="8" spans="1:13">
      <c r="B8" s="390" t="s">
        <v>747</v>
      </c>
      <c r="C8" s="390"/>
      <c r="D8" s="390"/>
      <c r="E8" s="390"/>
      <c r="F8" s="390"/>
      <c r="G8" s="390"/>
      <c r="H8" s="390"/>
      <c r="I8" s="390"/>
      <c r="J8" s="390"/>
      <c r="K8" s="390"/>
      <c r="L8" s="390"/>
      <c r="M8" s="390"/>
    </row>
    <row r="9" spans="1:13">
      <c r="B9" s="390" t="s">
        <v>238</v>
      </c>
      <c r="C9" s="390"/>
      <c r="D9" s="390"/>
      <c r="E9" s="390"/>
      <c r="F9" s="390"/>
      <c r="G9" s="390"/>
      <c r="H9" s="390"/>
      <c r="I9" s="390"/>
      <c r="J9" s="390"/>
      <c r="K9" s="390"/>
      <c r="L9" s="390"/>
      <c r="M9" s="390"/>
    </row>
    <row r="10" spans="1:13">
      <c r="B10" s="391" t="s">
        <v>267</v>
      </c>
      <c r="C10" s="391"/>
      <c r="D10" s="391"/>
      <c r="E10" s="391"/>
      <c r="F10" s="391"/>
      <c r="G10" s="391"/>
      <c r="H10" s="391"/>
      <c r="I10" s="391"/>
      <c r="J10" s="391"/>
      <c r="K10" s="391"/>
      <c r="L10" s="391"/>
      <c r="M10" s="391"/>
    </row>
    <row r="11" spans="1:13" ht="7.5" customHeight="1"/>
    <row r="12" spans="1:13" s="9" customFormat="1" ht="12">
      <c r="A12" s="71" t="s">
        <v>69</v>
      </c>
      <c r="B12" s="71" t="s">
        <v>284</v>
      </c>
      <c r="C12" s="71" t="s">
        <v>239</v>
      </c>
      <c r="D12" s="71" t="s">
        <v>285</v>
      </c>
      <c r="E12" s="71" t="s">
        <v>769</v>
      </c>
      <c r="F12" s="71" t="s">
        <v>271</v>
      </c>
      <c r="G12" s="71" t="s">
        <v>272</v>
      </c>
      <c r="H12" s="71" t="s">
        <v>273</v>
      </c>
      <c r="I12" s="71" t="s">
        <v>274</v>
      </c>
      <c r="J12" s="71" t="s">
        <v>275</v>
      </c>
      <c r="K12" s="71" t="s">
        <v>276</v>
      </c>
      <c r="L12" s="71" t="s">
        <v>277</v>
      </c>
      <c r="M12" s="71" t="s">
        <v>278</v>
      </c>
    </row>
    <row r="13" spans="1:13" s="80" customFormat="1">
      <c r="A13" s="93" t="s">
        <v>283</v>
      </c>
      <c r="D13" s="362">
        <v>211</v>
      </c>
      <c r="E13" s="362">
        <v>213</v>
      </c>
      <c r="F13" s="362">
        <v>221</v>
      </c>
      <c r="G13" s="362">
        <v>231</v>
      </c>
      <c r="H13" s="362">
        <v>241</v>
      </c>
      <c r="I13" s="362">
        <v>244</v>
      </c>
      <c r="J13" s="362">
        <v>251</v>
      </c>
      <c r="K13" s="362">
        <v>261</v>
      </c>
      <c r="L13" s="362">
        <v>281</v>
      </c>
      <c r="M13" s="362">
        <v>291</v>
      </c>
    </row>
    <row r="14" spans="1:13" s="83" customFormat="1">
      <c r="A14" s="87" t="s">
        <v>74</v>
      </c>
      <c r="B14" s="20" t="s">
        <v>286</v>
      </c>
      <c r="C14" s="92">
        <f t="shared" ref="C14:C27" si="0">SUM(D14:M14)</f>
        <v>24926350</v>
      </c>
      <c r="D14" s="88">
        <v>1119930</v>
      </c>
      <c r="E14" s="88">
        <v>1381250</v>
      </c>
      <c r="F14" s="88">
        <v>3400350</v>
      </c>
      <c r="G14" s="88">
        <v>2350390</v>
      </c>
      <c r="H14" s="88">
        <v>1634340</v>
      </c>
      <c r="I14" s="88">
        <v>1213540</v>
      </c>
      <c r="J14" s="88">
        <v>1034140</v>
      </c>
      <c r="K14" s="88">
        <v>6829290</v>
      </c>
      <c r="L14" s="88">
        <v>3877240</v>
      </c>
      <c r="M14" s="88">
        <v>2085880</v>
      </c>
    </row>
    <row r="15" spans="1:13">
      <c r="A15" s="87" t="s">
        <v>76</v>
      </c>
      <c r="B15" s="20" t="s">
        <v>287</v>
      </c>
      <c r="C15" s="92">
        <f t="shared" si="0"/>
        <v>8920270</v>
      </c>
      <c r="D15" s="88">
        <v>65460</v>
      </c>
      <c r="E15" s="88">
        <v>121370</v>
      </c>
      <c r="F15" s="88">
        <v>1427610</v>
      </c>
      <c r="G15" s="88">
        <v>913720</v>
      </c>
      <c r="H15" s="88">
        <v>471590</v>
      </c>
      <c r="I15" s="88">
        <v>129950</v>
      </c>
      <c r="J15" s="88">
        <v>531350</v>
      </c>
      <c r="K15" s="88">
        <v>3362440</v>
      </c>
      <c r="L15" s="88">
        <v>1328590</v>
      </c>
      <c r="M15" s="88">
        <v>568190</v>
      </c>
    </row>
    <row r="16" spans="1:13" s="20" customFormat="1">
      <c r="A16" s="87" t="s">
        <v>77</v>
      </c>
      <c r="B16" s="20" t="s">
        <v>288</v>
      </c>
      <c r="C16" s="92">
        <f t="shared" si="0"/>
        <v>0</v>
      </c>
      <c r="D16" s="88">
        <v>0</v>
      </c>
      <c r="E16" s="88">
        <v>0</v>
      </c>
      <c r="F16" s="88">
        <v>0</v>
      </c>
      <c r="G16" s="88">
        <v>0</v>
      </c>
      <c r="H16" s="88"/>
      <c r="I16" s="88">
        <v>0</v>
      </c>
      <c r="J16" s="88">
        <v>0</v>
      </c>
      <c r="K16" s="88">
        <v>0</v>
      </c>
      <c r="L16" s="88">
        <v>0</v>
      </c>
      <c r="M16" s="88">
        <v>0</v>
      </c>
    </row>
    <row r="17" spans="1:15" s="20" customFormat="1">
      <c r="A17" s="87" t="s">
        <v>78</v>
      </c>
      <c r="B17" s="20" t="s">
        <v>289</v>
      </c>
      <c r="C17" s="92">
        <f t="shared" si="0"/>
        <v>8448180</v>
      </c>
      <c r="D17" s="88">
        <v>191270</v>
      </c>
      <c r="E17" s="88">
        <v>446990</v>
      </c>
      <c r="F17" s="88">
        <v>980970</v>
      </c>
      <c r="G17" s="88">
        <v>1856960</v>
      </c>
      <c r="H17" s="88">
        <v>499320</v>
      </c>
      <c r="I17" s="88">
        <v>258290</v>
      </c>
      <c r="J17" s="88">
        <v>483220</v>
      </c>
      <c r="K17" s="88">
        <v>386550</v>
      </c>
      <c r="L17" s="88">
        <v>2308500</v>
      </c>
      <c r="M17" s="88">
        <v>1036110</v>
      </c>
    </row>
    <row r="18" spans="1:15">
      <c r="A18" s="87" t="s">
        <v>79</v>
      </c>
      <c r="B18" s="20" t="s">
        <v>290</v>
      </c>
      <c r="C18" s="92">
        <f t="shared" si="0"/>
        <v>14753210</v>
      </c>
      <c r="D18" s="88">
        <v>432550</v>
      </c>
      <c r="E18" s="88">
        <v>278930</v>
      </c>
      <c r="F18" s="88">
        <v>2651940</v>
      </c>
      <c r="G18" s="88">
        <v>1514580</v>
      </c>
      <c r="H18" s="88">
        <v>1367490</v>
      </c>
      <c r="I18" s="88">
        <v>548370</v>
      </c>
      <c r="J18" s="88">
        <v>994950</v>
      </c>
      <c r="K18" s="88">
        <v>4965370</v>
      </c>
      <c r="L18" s="88">
        <v>681910</v>
      </c>
      <c r="M18" s="88">
        <v>1317120</v>
      </c>
      <c r="O18" s="20"/>
    </row>
    <row r="19" spans="1:15">
      <c r="A19" s="87" t="s">
        <v>80</v>
      </c>
      <c r="B19" s="20" t="s">
        <v>291</v>
      </c>
      <c r="C19" s="92">
        <f t="shared" si="0"/>
        <v>1382220</v>
      </c>
      <c r="D19" s="88">
        <v>2780</v>
      </c>
      <c r="E19" s="88">
        <v>0</v>
      </c>
      <c r="F19" s="88">
        <v>43560</v>
      </c>
      <c r="G19" s="88">
        <v>15850</v>
      </c>
      <c r="H19" s="88">
        <v>409790</v>
      </c>
      <c r="I19" s="88">
        <v>11480</v>
      </c>
      <c r="J19" s="88">
        <v>6790</v>
      </c>
      <c r="K19" s="88">
        <v>579240</v>
      </c>
      <c r="L19" s="88">
        <v>294270</v>
      </c>
      <c r="M19" s="88">
        <v>18460</v>
      </c>
      <c r="O19" s="20"/>
    </row>
    <row r="20" spans="1:15">
      <c r="A20" s="87" t="s">
        <v>81</v>
      </c>
      <c r="B20" s="20" t="s">
        <v>292</v>
      </c>
      <c r="C20" s="92">
        <f t="shared" si="0"/>
        <v>5804360</v>
      </c>
      <c r="D20" s="88">
        <v>182180</v>
      </c>
      <c r="E20" s="88">
        <v>123760</v>
      </c>
      <c r="F20" s="88">
        <v>578090</v>
      </c>
      <c r="G20" s="88">
        <v>602660</v>
      </c>
      <c r="H20" s="88">
        <v>411120</v>
      </c>
      <c r="I20" s="88">
        <v>256140</v>
      </c>
      <c r="J20" s="88">
        <v>354800</v>
      </c>
      <c r="K20" s="88">
        <v>2085080</v>
      </c>
      <c r="L20" s="88">
        <v>690110</v>
      </c>
      <c r="M20" s="88">
        <v>520420</v>
      </c>
      <c r="O20" s="20"/>
    </row>
    <row r="21" spans="1:15">
      <c r="A21" s="87" t="s">
        <v>82</v>
      </c>
      <c r="B21" s="20" t="s">
        <v>293</v>
      </c>
      <c r="C21" s="92">
        <f t="shared" si="0"/>
        <v>1476540</v>
      </c>
      <c r="D21" s="88">
        <v>143620</v>
      </c>
      <c r="E21" s="88">
        <v>20760</v>
      </c>
      <c r="F21" s="88">
        <v>111820</v>
      </c>
      <c r="G21" s="88">
        <v>178620</v>
      </c>
      <c r="H21" s="88">
        <v>38210</v>
      </c>
      <c r="I21" s="88">
        <v>73560</v>
      </c>
      <c r="J21" s="88">
        <v>57110</v>
      </c>
      <c r="K21" s="88">
        <v>551940</v>
      </c>
      <c r="L21" s="88">
        <v>229480</v>
      </c>
      <c r="M21" s="88">
        <v>71420</v>
      </c>
      <c r="O21" s="20"/>
    </row>
    <row r="22" spans="1:15" s="7" customFormat="1">
      <c r="A22" s="87" t="s">
        <v>93</v>
      </c>
      <c r="B22" s="20" t="s">
        <v>294</v>
      </c>
      <c r="C22" s="92">
        <f t="shared" si="0"/>
        <v>3990870</v>
      </c>
      <c r="D22" s="88">
        <v>229450</v>
      </c>
      <c r="E22" s="88">
        <v>60120</v>
      </c>
      <c r="F22" s="88">
        <v>566550</v>
      </c>
      <c r="G22" s="88">
        <v>749140</v>
      </c>
      <c r="H22" s="88">
        <v>416560</v>
      </c>
      <c r="I22" s="88">
        <v>412180</v>
      </c>
      <c r="J22" s="88">
        <v>456790</v>
      </c>
      <c r="K22" s="88">
        <v>514560</v>
      </c>
      <c r="L22" s="88">
        <v>191820</v>
      </c>
      <c r="M22" s="88">
        <v>393700</v>
      </c>
      <c r="O22" s="20"/>
    </row>
    <row r="23" spans="1:15" s="10" customFormat="1">
      <c r="A23" s="87" t="s">
        <v>94</v>
      </c>
      <c r="B23" s="20" t="s">
        <v>295</v>
      </c>
      <c r="C23" s="92">
        <f t="shared" si="0"/>
        <v>1534610</v>
      </c>
      <c r="D23" s="88">
        <f>23220+9600</f>
        <v>32820</v>
      </c>
      <c r="E23" s="88">
        <f>17790+7200</f>
        <v>24990</v>
      </c>
      <c r="F23" s="88">
        <f>141890+57600</f>
        <v>199490</v>
      </c>
      <c r="G23" s="363">
        <f>91190+36800</f>
        <v>127990</v>
      </c>
      <c r="H23" s="88">
        <f>90430+36800</f>
        <v>127230</v>
      </c>
      <c r="I23" s="88">
        <f>61750+24800</f>
        <v>86550</v>
      </c>
      <c r="J23" s="88">
        <f>78970+32000</f>
        <v>110970</v>
      </c>
      <c r="K23" s="88">
        <f>423730+173600</f>
        <v>597330</v>
      </c>
      <c r="L23" s="88">
        <f>52110+20800</f>
        <v>72910</v>
      </c>
      <c r="M23" s="88">
        <f>109530+44800</f>
        <v>154330</v>
      </c>
    </row>
    <row r="24" spans="1:15">
      <c r="A24" s="87" t="s">
        <v>151</v>
      </c>
      <c r="B24" s="20" t="s">
        <v>296</v>
      </c>
      <c r="C24" s="92">
        <f t="shared" si="0"/>
        <v>6677860</v>
      </c>
      <c r="D24" s="88">
        <v>295400</v>
      </c>
      <c r="E24" s="88">
        <v>134730</v>
      </c>
      <c r="F24" s="88">
        <v>677250</v>
      </c>
      <c r="G24" s="88">
        <v>548880</v>
      </c>
      <c r="H24" s="88">
        <v>436190</v>
      </c>
      <c r="I24" s="88">
        <v>197980</v>
      </c>
      <c r="J24" s="88">
        <v>553460</v>
      </c>
      <c r="K24" s="88">
        <v>2620790</v>
      </c>
      <c r="L24" s="88">
        <v>675670</v>
      </c>
      <c r="M24" s="88">
        <v>537510</v>
      </c>
    </row>
    <row r="25" spans="1:15">
      <c r="A25" s="87" t="s">
        <v>153</v>
      </c>
      <c r="B25" s="20" t="s">
        <v>297</v>
      </c>
      <c r="C25" s="92">
        <f t="shared" si="0"/>
        <v>3960670</v>
      </c>
      <c r="D25" s="88">
        <v>163440</v>
      </c>
      <c r="E25" s="88">
        <v>79390</v>
      </c>
      <c r="F25" s="88">
        <v>269720</v>
      </c>
      <c r="G25" s="88">
        <v>283050</v>
      </c>
      <c r="H25" s="88">
        <v>262890</v>
      </c>
      <c r="I25" s="88">
        <v>106870</v>
      </c>
      <c r="J25" s="88">
        <v>290280</v>
      </c>
      <c r="K25" s="88">
        <v>1625440</v>
      </c>
      <c r="L25" s="88">
        <v>605250</v>
      </c>
      <c r="M25" s="88">
        <v>274340</v>
      </c>
    </row>
    <row r="26" spans="1:15">
      <c r="A26" s="87" t="s">
        <v>155</v>
      </c>
      <c r="B26" s="20" t="s">
        <v>298</v>
      </c>
      <c r="C26" s="92">
        <f t="shared" si="0"/>
        <v>5200130</v>
      </c>
      <c r="D26" s="88">
        <v>231950</v>
      </c>
      <c r="E26" s="88">
        <v>100940</v>
      </c>
      <c r="F26" s="88">
        <v>498130</v>
      </c>
      <c r="G26" s="88">
        <v>375190</v>
      </c>
      <c r="H26" s="88">
        <v>358330</v>
      </c>
      <c r="I26" s="88">
        <v>140150</v>
      </c>
      <c r="J26" s="88">
        <v>391810</v>
      </c>
      <c r="K26" s="88">
        <v>1681670</v>
      </c>
      <c r="L26" s="88">
        <v>812720</v>
      </c>
      <c r="M26" s="88">
        <v>609240</v>
      </c>
    </row>
    <row r="27" spans="1:15">
      <c r="A27" s="87" t="s">
        <v>157</v>
      </c>
      <c r="B27" s="20" t="s">
        <v>299</v>
      </c>
      <c r="C27" s="92">
        <f t="shared" si="0"/>
        <v>0</v>
      </c>
      <c r="D27" s="88"/>
      <c r="E27" s="88"/>
      <c r="F27" s="88"/>
      <c r="G27" s="88"/>
      <c r="H27" s="88"/>
      <c r="I27" s="88"/>
      <c r="J27" s="88"/>
      <c r="K27" s="88"/>
      <c r="L27" s="88"/>
      <c r="M27" s="88"/>
    </row>
    <row r="28" spans="1:15" s="7" customFormat="1">
      <c r="A28" s="67"/>
      <c r="B28" s="89" t="s">
        <v>300</v>
      </c>
      <c r="C28" s="72">
        <f>SUM(C14:C27)</f>
        <v>87075270</v>
      </c>
      <c r="D28" s="72">
        <f t="shared" ref="D28:M28" si="1">SUM(D14:D27)</f>
        <v>3090850</v>
      </c>
      <c r="E28" s="72">
        <f t="shared" si="1"/>
        <v>2773230</v>
      </c>
      <c r="F28" s="72">
        <f t="shared" si="1"/>
        <v>11405480</v>
      </c>
      <c r="G28" s="72">
        <f t="shared" si="1"/>
        <v>9517030</v>
      </c>
      <c r="H28" s="72">
        <f t="shared" si="1"/>
        <v>6433060</v>
      </c>
      <c r="I28" s="72">
        <f t="shared" si="1"/>
        <v>3435060</v>
      </c>
      <c r="J28" s="72">
        <f t="shared" si="1"/>
        <v>5265670</v>
      </c>
      <c r="K28" s="72">
        <f t="shared" si="1"/>
        <v>25799700</v>
      </c>
      <c r="L28" s="72">
        <f t="shared" si="1"/>
        <v>11768470</v>
      </c>
      <c r="M28" s="72">
        <f t="shared" si="1"/>
        <v>7586720</v>
      </c>
    </row>
    <row r="30" spans="1:15" s="9" customFormat="1" ht="12">
      <c r="A30" s="71" t="s">
        <v>69</v>
      </c>
      <c r="B30" s="71" t="s">
        <v>301</v>
      </c>
      <c r="C30" s="71" t="s">
        <v>239</v>
      </c>
      <c r="D30" s="71" t="s">
        <v>285</v>
      </c>
      <c r="E30" s="71" t="s">
        <v>270</v>
      </c>
      <c r="F30" s="71" t="s">
        <v>271</v>
      </c>
      <c r="G30" s="71" t="s">
        <v>272</v>
      </c>
      <c r="H30" s="71" t="s">
        <v>273</v>
      </c>
      <c r="I30" s="71" t="s">
        <v>274</v>
      </c>
      <c r="J30" s="71" t="s">
        <v>275</v>
      </c>
      <c r="K30" s="71" t="s">
        <v>276</v>
      </c>
      <c r="L30" s="71" t="s">
        <v>277</v>
      </c>
      <c r="M30" s="71" t="s">
        <v>278</v>
      </c>
    </row>
    <row r="31" spans="1:15" s="80" customFormat="1">
      <c r="A31" s="93" t="s">
        <v>303</v>
      </c>
      <c r="D31" s="80">
        <v>211</v>
      </c>
      <c r="E31" s="80">
        <v>213</v>
      </c>
      <c r="F31" s="80">
        <v>221</v>
      </c>
      <c r="G31" s="80">
        <v>231</v>
      </c>
      <c r="H31" s="80">
        <v>241</v>
      </c>
      <c r="I31" s="80">
        <v>244</v>
      </c>
      <c r="J31" s="80">
        <v>251</v>
      </c>
      <c r="K31" s="80">
        <v>261</v>
      </c>
      <c r="L31" s="80">
        <v>281</v>
      </c>
      <c r="M31" s="80">
        <v>291</v>
      </c>
    </row>
    <row r="32" spans="1:15" s="83" customFormat="1">
      <c r="A32" s="87" t="s">
        <v>74</v>
      </c>
      <c r="B32" s="20" t="s">
        <v>286</v>
      </c>
      <c r="C32" s="92">
        <f t="shared" ref="C32:C45" si="2">SUM(D32:M32)</f>
        <v>5893030</v>
      </c>
      <c r="D32" s="88">
        <v>161630</v>
      </c>
      <c r="E32" s="88">
        <v>16690</v>
      </c>
      <c r="F32" s="88">
        <v>25280</v>
      </c>
      <c r="G32" s="88">
        <v>3732730</v>
      </c>
      <c r="H32" s="88">
        <v>950340</v>
      </c>
      <c r="I32" s="88">
        <v>65990</v>
      </c>
      <c r="J32" s="88">
        <v>157670</v>
      </c>
      <c r="K32" s="88">
        <v>614800</v>
      </c>
      <c r="L32" s="88">
        <v>167900</v>
      </c>
      <c r="M32" s="88">
        <v>0</v>
      </c>
    </row>
    <row r="33" spans="1:13">
      <c r="A33" s="87" t="s">
        <v>76</v>
      </c>
      <c r="B33" s="20" t="s">
        <v>287</v>
      </c>
      <c r="C33" s="92">
        <f t="shared" si="2"/>
        <v>716750</v>
      </c>
      <c r="D33" s="88">
        <v>14230</v>
      </c>
      <c r="E33" s="88">
        <v>730</v>
      </c>
      <c r="F33" s="88">
        <v>4290</v>
      </c>
      <c r="G33" s="88">
        <v>436570</v>
      </c>
      <c r="H33" s="88">
        <v>110560</v>
      </c>
      <c r="I33" s="88">
        <v>16180</v>
      </c>
      <c r="J33" s="88">
        <v>10100</v>
      </c>
      <c r="K33" s="88">
        <v>109790</v>
      </c>
      <c r="L33" s="88">
        <v>14300</v>
      </c>
      <c r="M33" s="88">
        <v>0</v>
      </c>
    </row>
    <row r="34" spans="1:13" s="20" customFormat="1">
      <c r="A34" s="87" t="s">
        <v>77</v>
      </c>
      <c r="B34" s="20" t="s">
        <v>288</v>
      </c>
      <c r="C34" s="92">
        <f t="shared" si="2"/>
        <v>0</v>
      </c>
      <c r="D34" s="88">
        <v>0</v>
      </c>
      <c r="E34" s="88">
        <v>0</v>
      </c>
      <c r="F34" s="88">
        <v>0</v>
      </c>
      <c r="G34" s="88">
        <v>0</v>
      </c>
      <c r="H34" s="88">
        <v>0</v>
      </c>
      <c r="I34" s="88">
        <v>0</v>
      </c>
      <c r="J34" s="88">
        <v>0</v>
      </c>
      <c r="K34" s="88">
        <v>0</v>
      </c>
      <c r="L34" s="88">
        <v>0</v>
      </c>
      <c r="M34" s="88">
        <v>0</v>
      </c>
    </row>
    <row r="35" spans="1:13" s="20" customFormat="1">
      <c r="A35" s="87" t="s">
        <v>78</v>
      </c>
      <c r="B35" s="20" t="s">
        <v>289</v>
      </c>
      <c r="C35" s="92">
        <f t="shared" si="2"/>
        <v>0</v>
      </c>
      <c r="D35" s="88">
        <v>0</v>
      </c>
      <c r="E35" s="88">
        <v>0</v>
      </c>
      <c r="F35" s="88">
        <v>0</v>
      </c>
      <c r="G35" s="88"/>
      <c r="H35" s="88">
        <v>0</v>
      </c>
      <c r="I35" s="88">
        <v>0</v>
      </c>
      <c r="J35" s="88">
        <v>0</v>
      </c>
      <c r="K35" s="88">
        <v>0</v>
      </c>
      <c r="L35" s="88">
        <v>0</v>
      </c>
      <c r="M35" s="88">
        <v>0</v>
      </c>
    </row>
    <row r="36" spans="1:13">
      <c r="A36" s="87" t="s">
        <v>79</v>
      </c>
      <c r="B36" s="20" t="s">
        <v>290</v>
      </c>
      <c r="C36" s="92">
        <f t="shared" si="2"/>
        <v>3034980</v>
      </c>
      <c r="D36" s="88">
        <v>124330</v>
      </c>
      <c r="E36" s="88">
        <v>36090</v>
      </c>
      <c r="F36" s="88">
        <v>69620</v>
      </c>
      <c r="G36" s="88">
        <v>1000840</v>
      </c>
      <c r="H36" s="88">
        <v>318230</v>
      </c>
      <c r="I36" s="88">
        <v>193840</v>
      </c>
      <c r="J36" s="88">
        <v>190180</v>
      </c>
      <c r="K36" s="88">
        <v>1020060</v>
      </c>
      <c r="L36" s="88">
        <v>81790</v>
      </c>
      <c r="M36" s="88">
        <v>0</v>
      </c>
    </row>
    <row r="37" spans="1:13">
      <c r="A37" s="87" t="s">
        <v>80</v>
      </c>
      <c r="B37" s="20" t="s">
        <v>291</v>
      </c>
      <c r="C37" s="92">
        <f t="shared" si="2"/>
        <v>0</v>
      </c>
      <c r="D37" s="88">
        <v>0</v>
      </c>
      <c r="E37" s="88">
        <v>0</v>
      </c>
      <c r="F37" s="88">
        <v>0</v>
      </c>
      <c r="G37" s="88">
        <v>0</v>
      </c>
      <c r="H37" s="88">
        <v>0</v>
      </c>
      <c r="I37" s="88">
        <v>0</v>
      </c>
      <c r="J37" s="88">
        <v>0</v>
      </c>
      <c r="K37" s="88">
        <v>0</v>
      </c>
      <c r="L37" s="88">
        <v>0</v>
      </c>
      <c r="M37" s="88">
        <v>0</v>
      </c>
    </row>
    <row r="38" spans="1:13">
      <c r="A38" s="87" t="s">
        <v>81</v>
      </c>
      <c r="B38" s="20" t="s">
        <v>292</v>
      </c>
      <c r="C38" s="92">
        <f t="shared" si="2"/>
        <v>1034000</v>
      </c>
      <c r="D38" s="88">
        <v>35580</v>
      </c>
      <c r="E38" s="88">
        <v>4570</v>
      </c>
      <c r="F38" s="88">
        <v>20700</v>
      </c>
      <c r="G38" s="88">
        <v>537420</v>
      </c>
      <c r="H38" s="88">
        <v>167920</v>
      </c>
      <c r="I38" s="88">
        <v>23880</v>
      </c>
      <c r="J38" s="88">
        <v>48070</v>
      </c>
      <c r="K38" s="88">
        <v>166170</v>
      </c>
      <c r="L38" s="88">
        <v>29690</v>
      </c>
      <c r="M38" s="88">
        <v>0</v>
      </c>
    </row>
    <row r="39" spans="1:13">
      <c r="A39" s="87" t="s">
        <v>82</v>
      </c>
      <c r="B39" s="20" t="s">
        <v>293</v>
      </c>
      <c r="C39" s="92">
        <f t="shared" si="2"/>
        <v>393390</v>
      </c>
      <c r="D39" s="88">
        <v>5610</v>
      </c>
      <c r="E39" s="88">
        <v>0</v>
      </c>
      <c r="F39" s="88">
        <v>4920</v>
      </c>
      <c r="G39" s="88">
        <v>232760</v>
      </c>
      <c r="H39" s="88">
        <v>45310</v>
      </c>
      <c r="I39" s="88">
        <v>3380</v>
      </c>
      <c r="J39" s="88">
        <v>20250</v>
      </c>
      <c r="K39" s="88">
        <v>75370</v>
      </c>
      <c r="L39" s="88">
        <v>5790</v>
      </c>
      <c r="M39" s="88">
        <v>0</v>
      </c>
    </row>
    <row r="40" spans="1:13" s="7" customFormat="1">
      <c r="A40" s="87" t="s">
        <v>93</v>
      </c>
      <c r="B40" s="20" t="s">
        <v>294</v>
      </c>
      <c r="C40" s="92">
        <f t="shared" si="2"/>
        <v>1508150</v>
      </c>
      <c r="D40" s="88">
        <f>12820</f>
        <v>12820</v>
      </c>
      <c r="E40" s="88">
        <v>0</v>
      </c>
      <c r="F40" s="88">
        <v>1950</v>
      </c>
      <c r="G40" s="88">
        <v>1197090</v>
      </c>
      <c r="H40" s="88">
        <v>272290</v>
      </c>
      <c r="I40" s="88">
        <v>1030</v>
      </c>
      <c r="J40" s="88">
        <v>7610</v>
      </c>
      <c r="K40" s="363">
        <v>11580</v>
      </c>
      <c r="L40" s="88">
        <v>3780</v>
      </c>
      <c r="M40" s="88">
        <v>0</v>
      </c>
    </row>
    <row r="41" spans="1:13" s="10" customFormat="1">
      <c r="A41" s="87" t="s">
        <v>94</v>
      </c>
      <c r="B41" s="20" t="s">
        <v>295</v>
      </c>
      <c r="C41" s="92">
        <f t="shared" si="2"/>
        <v>350730</v>
      </c>
      <c r="D41" s="88">
        <f>8050+3200</f>
        <v>11250</v>
      </c>
      <c r="E41" s="88">
        <f>2080+800</f>
        <v>2880</v>
      </c>
      <c r="F41" s="88">
        <f>29520+12800</f>
        <v>42320</v>
      </c>
      <c r="G41" s="88">
        <f>89490+37600</f>
        <v>127090</v>
      </c>
      <c r="H41" s="88">
        <f>33970+14400</f>
        <v>48370</v>
      </c>
      <c r="I41" s="88">
        <f>12230+4800</f>
        <v>17030</v>
      </c>
      <c r="J41" s="88">
        <f>20950+8800</f>
        <v>29750</v>
      </c>
      <c r="K41" s="88">
        <f>45350+19200</f>
        <v>64550</v>
      </c>
      <c r="L41" s="88">
        <f>5090+2400</f>
        <v>7490</v>
      </c>
      <c r="M41" s="88">
        <v>0</v>
      </c>
    </row>
    <row r="42" spans="1:13">
      <c r="A42" s="87" t="s">
        <v>151</v>
      </c>
      <c r="B42" s="20" t="s">
        <v>296</v>
      </c>
      <c r="C42" s="92">
        <f t="shared" si="2"/>
        <v>1185550</v>
      </c>
      <c r="D42" s="88">
        <v>40410</v>
      </c>
      <c r="E42" s="88">
        <v>2790</v>
      </c>
      <c r="F42" s="88">
        <v>10680</v>
      </c>
      <c r="G42" s="88">
        <v>711900</v>
      </c>
      <c r="H42" s="88">
        <v>189230</v>
      </c>
      <c r="I42" s="88">
        <v>20430</v>
      </c>
      <c r="J42" s="88">
        <v>51990</v>
      </c>
      <c r="K42" s="88">
        <v>136780</v>
      </c>
      <c r="L42" s="88">
        <v>21340</v>
      </c>
      <c r="M42" s="88">
        <v>0</v>
      </c>
    </row>
    <row r="43" spans="1:13">
      <c r="A43" s="87" t="s">
        <v>153</v>
      </c>
      <c r="B43" s="20" t="s">
        <v>297</v>
      </c>
      <c r="C43" s="92">
        <f t="shared" si="2"/>
        <v>699440</v>
      </c>
      <c r="D43" s="88">
        <v>23180</v>
      </c>
      <c r="E43" s="88">
        <v>1590</v>
      </c>
      <c r="F43" s="88">
        <v>6060</v>
      </c>
      <c r="G43" s="88">
        <v>424240</v>
      </c>
      <c r="H43" s="88">
        <v>111640</v>
      </c>
      <c r="I43" s="88">
        <v>11690</v>
      </c>
      <c r="J43" s="88">
        <v>29930</v>
      </c>
      <c r="K43" s="88">
        <v>78850</v>
      </c>
      <c r="L43" s="88">
        <v>12260</v>
      </c>
      <c r="M43" s="88">
        <v>0</v>
      </c>
    </row>
    <row r="44" spans="1:13">
      <c r="A44" s="87" t="s">
        <v>155</v>
      </c>
      <c r="B44" s="20" t="s">
        <v>298</v>
      </c>
      <c r="C44" s="92">
        <f t="shared" si="2"/>
        <v>936900</v>
      </c>
      <c r="D44" s="88">
        <v>28810</v>
      </c>
      <c r="E44" s="88">
        <v>2230</v>
      </c>
      <c r="F44" s="88">
        <v>7610</v>
      </c>
      <c r="G44" s="88">
        <v>537980</v>
      </c>
      <c r="H44" s="88">
        <v>192990</v>
      </c>
      <c r="I44" s="88">
        <v>14780</v>
      </c>
      <c r="J44" s="88">
        <v>37410</v>
      </c>
      <c r="K44" s="88">
        <v>99910</v>
      </c>
      <c r="L44" s="88">
        <v>15180</v>
      </c>
      <c r="M44" s="88">
        <v>0</v>
      </c>
    </row>
    <row r="45" spans="1:13">
      <c r="A45" s="87" t="s">
        <v>157</v>
      </c>
      <c r="B45" s="20" t="s">
        <v>299</v>
      </c>
      <c r="C45" s="92">
        <f t="shared" si="2"/>
        <v>0</v>
      </c>
      <c r="D45" s="88">
        <v>0</v>
      </c>
      <c r="E45" s="88">
        <v>0</v>
      </c>
      <c r="F45" s="88">
        <v>0</v>
      </c>
      <c r="G45" s="88">
        <v>0</v>
      </c>
      <c r="H45" s="88">
        <v>0</v>
      </c>
      <c r="I45" s="88">
        <v>0</v>
      </c>
      <c r="J45" s="88">
        <v>0</v>
      </c>
      <c r="K45" s="88">
        <v>0</v>
      </c>
      <c r="L45" s="88">
        <v>0</v>
      </c>
      <c r="M45" s="88">
        <v>0</v>
      </c>
    </row>
    <row r="46" spans="1:13" s="7" customFormat="1">
      <c r="A46" s="67"/>
      <c r="B46" s="89" t="s">
        <v>300</v>
      </c>
      <c r="C46" s="72">
        <f t="shared" ref="C46:M46" si="3">SUM(C32:C45)</f>
        <v>15752920</v>
      </c>
      <c r="D46" s="72">
        <f t="shared" si="3"/>
        <v>457850</v>
      </c>
      <c r="E46" s="72">
        <f t="shared" si="3"/>
        <v>67570</v>
      </c>
      <c r="F46" s="72">
        <f t="shared" si="3"/>
        <v>193430</v>
      </c>
      <c r="G46" s="72">
        <f t="shared" si="3"/>
        <v>8938620</v>
      </c>
      <c r="H46" s="72">
        <f t="shared" si="3"/>
        <v>2406880</v>
      </c>
      <c r="I46" s="72">
        <f t="shared" si="3"/>
        <v>368230</v>
      </c>
      <c r="J46" s="72">
        <f t="shared" si="3"/>
        <v>582960</v>
      </c>
      <c r="K46" s="72">
        <f t="shared" si="3"/>
        <v>2377860</v>
      </c>
      <c r="L46" s="72">
        <f t="shared" si="3"/>
        <v>359520</v>
      </c>
      <c r="M46" s="72">
        <f t="shared" si="3"/>
        <v>0</v>
      </c>
    </row>
    <row r="48" spans="1:13" s="9" customFormat="1" ht="12">
      <c r="A48" s="71" t="s">
        <v>69</v>
      </c>
      <c r="B48" s="71" t="s">
        <v>302</v>
      </c>
      <c r="C48" s="71" t="s">
        <v>239</v>
      </c>
      <c r="D48" s="71" t="s">
        <v>285</v>
      </c>
      <c r="E48" s="71" t="s">
        <v>270</v>
      </c>
      <c r="F48" s="71" t="s">
        <v>271</v>
      </c>
      <c r="G48" s="71" t="s">
        <v>272</v>
      </c>
      <c r="H48" s="71" t="s">
        <v>273</v>
      </c>
      <c r="I48" s="71" t="s">
        <v>274</v>
      </c>
      <c r="J48" s="71" t="s">
        <v>275</v>
      </c>
      <c r="K48" s="71" t="s">
        <v>276</v>
      </c>
      <c r="L48" s="71" t="s">
        <v>277</v>
      </c>
      <c r="M48" s="71" t="s">
        <v>278</v>
      </c>
    </row>
    <row r="49" spans="1:13" s="80" customFormat="1">
      <c r="A49" s="93" t="s">
        <v>304</v>
      </c>
      <c r="D49" s="80">
        <v>211</v>
      </c>
      <c r="E49" s="80">
        <v>213</v>
      </c>
      <c r="F49" s="80">
        <v>221</v>
      </c>
      <c r="G49" s="80">
        <v>231</v>
      </c>
      <c r="H49" s="80">
        <v>241</v>
      </c>
      <c r="I49" s="80">
        <v>244</v>
      </c>
      <c r="J49" s="80">
        <v>251</v>
      </c>
      <c r="K49" s="80">
        <v>261</v>
      </c>
      <c r="L49" s="80">
        <v>281</v>
      </c>
      <c r="M49" s="80">
        <v>291</v>
      </c>
    </row>
    <row r="50" spans="1:13" s="83" customFormat="1">
      <c r="A50" s="87" t="s">
        <v>74</v>
      </c>
      <c r="B50" s="20" t="s">
        <v>307</v>
      </c>
      <c r="C50" s="92">
        <f t="shared" ref="C50:C65" si="4">SUM(D50:M50)</f>
        <v>302940</v>
      </c>
      <c r="D50" s="88">
        <v>4390</v>
      </c>
      <c r="E50" s="88">
        <v>1920</v>
      </c>
      <c r="F50" s="88">
        <v>3000</v>
      </c>
      <c r="G50" s="88">
        <v>127720</v>
      </c>
      <c r="H50" s="88">
        <v>93380</v>
      </c>
      <c r="I50" s="88">
        <v>11970</v>
      </c>
      <c r="J50" s="88">
        <v>30080</v>
      </c>
      <c r="K50" s="88">
        <v>12450</v>
      </c>
      <c r="L50" s="88">
        <v>0</v>
      </c>
      <c r="M50" s="88">
        <v>18030</v>
      </c>
    </row>
    <row r="51" spans="1:13">
      <c r="A51" s="87" t="s">
        <v>76</v>
      </c>
      <c r="B51" s="20" t="s">
        <v>308</v>
      </c>
      <c r="C51" s="92">
        <f t="shared" si="4"/>
        <v>1560</v>
      </c>
      <c r="D51" s="88">
        <v>0</v>
      </c>
      <c r="E51" s="88">
        <v>0</v>
      </c>
      <c r="F51" s="88">
        <v>1560</v>
      </c>
      <c r="G51" s="88">
        <v>0</v>
      </c>
      <c r="H51" s="88">
        <v>0</v>
      </c>
      <c r="I51" s="88">
        <v>0</v>
      </c>
      <c r="J51" s="88">
        <v>0</v>
      </c>
      <c r="K51" s="88">
        <v>0</v>
      </c>
      <c r="L51" s="88">
        <v>0</v>
      </c>
      <c r="M51" s="88">
        <v>0</v>
      </c>
    </row>
    <row r="52" spans="1:13" s="20" customFormat="1">
      <c r="A52" s="87" t="s">
        <v>77</v>
      </c>
      <c r="B52" s="20" t="s">
        <v>309</v>
      </c>
      <c r="C52" s="92">
        <f t="shared" si="4"/>
        <v>36000</v>
      </c>
      <c r="D52" s="88">
        <v>0</v>
      </c>
      <c r="E52" s="88">
        <v>0</v>
      </c>
      <c r="F52" s="88">
        <v>0</v>
      </c>
      <c r="G52" s="88">
        <v>0</v>
      </c>
      <c r="H52" s="88">
        <v>0</v>
      </c>
      <c r="I52" s="88">
        <v>0</v>
      </c>
      <c r="J52" s="88">
        <v>0</v>
      </c>
      <c r="K52" s="88">
        <v>0</v>
      </c>
      <c r="L52" s="88">
        <v>0</v>
      </c>
      <c r="M52" s="88">
        <v>36000</v>
      </c>
    </row>
    <row r="53" spans="1:13" s="20" customFormat="1">
      <c r="A53" s="87" t="s">
        <v>78</v>
      </c>
      <c r="B53" s="20" t="s">
        <v>310</v>
      </c>
      <c r="C53" s="92">
        <f t="shared" si="4"/>
        <v>978490</v>
      </c>
      <c r="D53" s="88">
        <v>6840</v>
      </c>
      <c r="E53" s="88">
        <v>15180</v>
      </c>
      <c r="F53" s="88">
        <v>223970</v>
      </c>
      <c r="G53" s="88">
        <v>0</v>
      </c>
      <c r="H53" s="88">
        <v>335050</v>
      </c>
      <c r="I53" s="88">
        <v>94890</v>
      </c>
      <c r="J53" s="88">
        <v>7970</v>
      </c>
      <c r="K53" s="88">
        <v>189350</v>
      </c>
      <c r="L53" s="88">
        <v>71790</v>
      </c>
      <c r="M53" s="88">
        <v>33450</v>
      </c>
    </row>
    <row r="54" spans="1:13">
      <c r="A54" s="87" t="s">
        <v>79</v>
      </c>
      <c r="B54" s="20" t="s">
        <v>311</v>
      </c>
      <c r="C54" s="92">
        <f t="shared" si="4"/>
        <v>664880</v>
      </c>
      <c r="D54" s="88">
        <v>7730</v>
      </c>
      <c r="E54" s="88">
        <v>1260</v>
      </c>
      <c r="F54" s="88">
        <v>3000</v>
      </c>
      <c r="G54" s="88">
        <v>558690</v>
      </c>
      <c r="H54" s="88">
        <v>6680</v>
      </c>
      <c r="I54" s="88">
        <v>64750</v>
      </c>
      <c r="J54" s="88">
        <v>5270</v>
      </c>
      <c r="K54" s="88">
        <v>16850</v>
      </c>
      <c r="L54" s="88">
        <v>0</v>
      </c>
      <c r="M54" s="88">
        <v>650</v>
      </c>
    </row>
    <row r="55" spans="1:13">
      <c r="A55" s="87" t="s">
        <v>80</v>
      </c>
      <c r="B55" s="20" t="s">
        <v>312</v>
      </c>
      <c r="C55" s="92">
        <f t="shared" si="4"/>
        <v>0</v>
      </c>
      <c r="D55" s="88">
        <v>0</v>
      </c>
      <c r="E55" s="88">
        <v>0</v>
      </c>
      <c r="F55" s="88">
        <v>0</v>
      </c>
      <c r="G55" s="88">
        <v>0</v>
      </c>
      <c r="H55" s="88">
        <v>0</v>
      </c>
      <c r="I55" s="88">
        <v>0</v>
      </c>
      <c r="J55" s="88">
        <v>0</v>
      </c>
      <c r="K55" s="88">
        <v>0</v>
      </c>
      <c r="L55" s="88">
        <v>0</v>
      </c>
      <c r="M55" s="88">
        <v>0</v>
      </c>
    </row>
    <row r="56" spans="1:13">
      <c r="A56" s="87" t="s">
        <v>81</v>
      </c>
      <c r="B56" s="20" t="s">
        <v>313</v>
      </c>
      <c r="C56" s="92">
        <f t="shared" si="4"/>
        <v>270060</v>
      </c>
      <c r="D56" s="88">
        <v>0</v>
      </c>
      <c r="E56" s="88">
        <v>0</v>
      </c>
      <c r="F56" s="88">
        <v>36030</v>
      </c>
      <c r="G56" s="88">
        <v>0</v>
      </c>
      <c r="H56" s="88">
        <v>0</v>
      </c>
      <c r="I56" s="88">
        <v>0</v>
      </c>
      <c r="J56" s="88">
        <v>0</v>
      </c>
      <c r="K56" s="88">
        <v>0</v>
      </c>
      <c r="L56" s="88">
        <v>234030</v>
      </c>
      <c r="M56" s="88">
        <v>0</v>
      </c>
    </row>
    <row r="57" spans="1:13">
      <c r="A57" s="87" t="s">
        <v>82</v>
      </c>
      <c r="B57" s="20" t="s">
        <v>314</v>
      </c>
      <c r="C57" s="92">
        <f t="shared" si="4"/>
        <v>145980</v>
      </c>
      <c r="D57" s="88">
        <v>0</v>
      </c>
      <c r="E57" s="88">
        <v>0</v>
      </c>
      <c r="F57" s="88">
        <v>145980</v>
      </c>
      <c r="G57" s="88">
        <v>0</v>
      </c>
      <c r="H57" s="88">
        <v>0</v>
      </c>
      <c r="I57" s="88">
        <v>0</v>
      </c>
      <c r="J57" s="88">
        <v>0</v>
      </c>
      <c r="K57" s="88">
        <v>0</v>
      </c>
      <c r="L57" s="88">
        <v>0</v>
      </c>
      <c r="M57" s="88">
        <v>0</v>
      </c>
    </row>
    <row r="58" spans="1:13">
      <c r="A58" s="87" t="s">
        <v>93</v>
      </c>
      <c r="B58" s="20" t="s">
        <v>315</v>
      </c>
      <c r="C58" s="92">
        <f t="shared" si="4"/>
        <v>241890</v>
      </c>
      <c r="D58" s="88">
        <v>0</v>
      </c>
      <c r="E58" s="88">
        <v>0</v>
      </c>
      <c r="F58" s="88">
        <v>0</v>
      </c>
      <c r="G58" s="88">
        <v>155150</v>
      </c>
      <c r="H58" s="88">
        <v>10610</v>
      </c>
      <c r="I58" s="88">
        <v>48640</v>
      </c>
      <c r="J58" s="88">
        <v>0</v>
      </c>
      <c r="K58" s="88">
        <v>22980</v>
      </c>
      <c r="L58" s="88">
        <v>4510</v>
      </c>
      <c r="M58" s="88">
        <v>0</v>
      </c>
    </row>
    <row r="59" spans="1:13">
      <c r="A59" s="87" t="s">
        <v>94</v>
      </c>
      <c r="B59" s="20" t="s">
        <v>316</v>
      </c>
      <c r="C59" s="92">
        <f t="shared" si="4"/>
        <v>37630</v>
      </c>
      <c r="D59" s="88">
        <v>0</v>
      </c>
      <c r="E59" s="88">
        <v>0</v>
      </c>
      <c r="F59" s="88">
        <v>0</v>
      </c>
      <c r="G59" s="88">
        <v>0</v>
      </c>
      <c r="H59" s="88">
        <v>0</v>
      </c>
      <c r="I59" s="88">
        <v>34040</v>
      </c>
      <c r="J59" s="88">
        <v>0</v>
      </c>
      <c r="K59" s="88">
        <v>3590</v>
      </c>
      <c r="L59" s="88">
        <v>0</v>
      </c>
      <c r="M59" s="88">
        <v>0</v>
      </c>
    </row>
    <row r="60" spans="1:13">
      <c r="A60" s="87" t="s">
        <v>151</v>
      </c>
      <c r="B60" s="20" t="s">
        <v>317</v>
      </c>
      <c r="C60" s="92">
        <f t="shared" si="4"/>
        <v>652220</v>
      </c>
      <c r="D60" s="88">
        <v>96790</v>
      </c>
      <c r="E60" s="88">
        <v>115120</v>
      </c>
      <c r="F60" s="88">
        <v>0</v>
      </c>
      <c r="G60" s="88">
        <v>61060</v>
      </c>
      <c r="H60" s="88">
        <v>124220</v>
      </c>
      <c r="I60" s="88">
        <v>19590</v>
      </c>
      <c r="J60" s="88">
        <v>90090</v>
      </c>
      <c r="K60" s="88">
        <v>127480</v>
      </c>
      <c r="L60" s="88">
        <v>10580</v>
      </c>
      <c r="M60" s="88">
        <v>7290</v>
      </c>
    </row>
    <row r="61" spans="1:13">
      <c r="A61" s="87" t="s">
        <v>153</v>
      </c>
      <c r="B61" s="20" t="s">
        <v>318</v>
      </c>
      <c r="C61" s="92">
        <f t="shared" si="4"/>
        <v>23070</v>
      </c>
      <c r="D61" s="88">
        <v>0</v>
      </c>
      <c r="E61" s="88">
        <v>0</v>
      </c>
      <c r="F61" s="88">
        <v>0</v>
      </c>
      <c r="G61" s="88">
        <v>0</v>
      </c>
      <c r="H61" s="88">
        <v>0</v>
      </c>
      <c r="I61" s="88">
        <v>0</v>
      </c>
      <c r="J61" s="88">
        <v>23070</v>
      </c>
      <c r="K61" s="88">
        <v>0</v>
      </c>
      <c r="L61" s="88">
        <v>0</v>
      </c>
      <c r="M61" s="88">
        <v>0</v>
      </c>
    </row>
    <row r="62" spans="1:13">
      <c r="A62" s="87" t="s">
        <v>155</v>
      </c>
      <c r="B62" s="20" t="s">
        <v>319</v>
      </c>
      <c r="C62" s="92">
        <f t="shared" si="4"/>
        <v>0</v>
      </c>
      <c r="D62" s="88">
        <v>0</v>
      </c>
      <c r="E62" s="88">
        <v>0</v>
      </c>
      <c r="F62" s="88">
        <v>0</v>
      </c>
      <c r="G62" s="88">
        <v>0</v>
      </c>
      <c r="H62" s="88">
        <v>0</v>
      </c>
      <c r="I62" s="88">
        <v>0</v>
      </c>
      <c r="J62" s="88">
        <v>0</v>
      </c>
      <c r="K62" s="88">
        <v>0</v>
      </c>
      <c r="L62" s="88">
        <v>0</v>
      </c>
      <c r="M62" s="88">
        <v>0</v>
      </c>
    </row>
    <row r="63" spans="1:13" s="7" customFormat="1">
      <c r="A63" s="87" t="s">
        <v>157</v>
      </c>
      <c r="B63" s="20" t="s">
        <v>320</v>
      </c>
      <c r="C63" s="92">
        <f t="shared" si="4"/>
        <v>40500</v>
      </c>
      <c r="D63" s="88">
        <v>0</v>
      </c>
      <c r="E63" s="88">
        <v>0</v>
      </c>
      <c r="F63" s="88">
        <v>0</v>
      </c>
      <c r="G63" s="88">
        <v>0</v>
      </c>
      <c r="H63" s="88">
        <v>0</v>
      </c>
      <c r="I63" s="88">
        <v>40500</v>
      </c>
      <c r="J63" s="88">
        <v>0</v>
      </c>
      <c r="K63" s="88">
        <v>0</v>
      </c>
      <c r="L63" s="88">
        <v>0</v>
      </c>
      <c r="M63" s="88">
        <v>0</v>
      </c>
    </row>
    <row r="64" spans="1:13" s="10" customFormat="1">
      <c r="A64" s="87" t="s">
        <v>159</v>
      </c>
      <c r="B64" s="20" t="s">
        <v>321</v>
      </c>
      <c r="C64" s="92">
        <f t="shared" si="4"/>
        <v>938440</v>
      </c>
      <c r="D64" s="88">
        <v>10840</v>
      </c>
      <c r="E64" s="88">
        <v>553270</v>
      </c>
      <c r="F64" s="88">
        <v>10000</v>
      </c>
      <c r="G64" s="88">
        <v>28000</v>
      </c>
      <c r="H64" s="88">
        <v>125090</v>
      </c>
      <c r="I64" s="88">
        <v>35930</v>
      </c>
      <c r="J64" s="88">
        <v>0</v>
      </c>
      <c r="K64" s="88">
        <v>138390</v>
      </c>
      <c r="L64" s="88">
        <v>18310</v>
      </c>
      <c r="M64" s="88">
        <v>18610</v>
      </c>
    </row>
    <row r="65" spans="1:13">
      <c r="A65" s="87"/>
      <c r="B65" s="20"/>
      <c r="C65" s="92">
        <f t="shared" si="4"/>
        <v>0</v>
      </c>
      <c r="D65" s="88">
        <v>0</v>
      </c>
      <c r="E65" s="88">
        <v>0</v>
      </c>
      <c r="F65" s="88">
        <v>0</v>
      </c>
      <c r="G65" s="88">
        <v>0</v>
      </c>
      <c r="H65" s="88"/>
      <c r="I65" s="88"/>
      <c r="J65" s="88"/>
      <c r="K65" s="88"/>
      <c r="L65" s="88"/>
      <c r="M65" s="88"/>
    </row>
    <row r="66" spans="1:13" s="7" customFormat="1">
      <c r="A66" s="67"/>
      <c r="B66" s="89" t="s">
        <v>300</v>
      </c>
      <c r="C66" s="72">
        <f t="shared" ref="C66:L66" si="5">SUM(C50:C65)</f>
        <v>4333660</v>
      </c>
      <c r="D66" s="72">
        <f t="shared" si="5"/>
        <v>126590</v>
      </c>
      <c r="E66" s="72">
        <f t="shared" si="5"/>
        <v>686750</v>
      </c>
      <c r="F66" s="72">
        <f t="shared" si="5"/>
        <v>423540</v>
      </c>
      <c r="G66" s="72">
        <f t="shared" si="5"/>
        <v>930620</v>
      </c>
      <c r="H66" s="72">
        <f>SUM(H50:H65)</f>
        <v>695030</v>
      </c>
      <c r="I66" s="72">
        <f t="shared" si="5"/>
        <v>350310</v>
      </c>
      <c r="J66" s="72">
        <f t="shared" si="5"/>
        <v>156480</v>
      </c>
      <c r="K66" s="72">
        <f t="shared" si="5"/>
        <v>511090</v>
      </c>
      <c r="L66" s="72">
        <f t="shared" si="5"/>
        <v>339220</v>
      </c>
      <c r="M66" s="72">
        <f>SUM(M50:M65)</f>
        <v>114030</v>
      </c>
    </row>
    <row r="68" spans="1:13" s="9" customFormat="1" ht="12">
      <c r="A68" s="71" t="s">
        <v>69</v>
      </c>
      <c r="B68" s="71" t="s">
        <v>324</v>
      </c>
      <c r="C68" s="71" t="s">
        <v>239</v>
      </c>
      <c r="D68" s="71" t="s">
        <v>285</v>
      </c>
      <c r="E68" s="71" t="s">
        <v>270</v>
      </c>
      <c r="F68" s="71" t="s">
        <v>271</v>
      </c>
      <c r="G68" s="71" t="s">
        <v>272</v>
      </c>
      <c r="H68" s="71" t="s">
        <v>273</v>
      </c>
      <c r="I68" s="71" t="s">
        <v>274</v>
      </c>
      <c r="J68" s="71" t="s">
        <v>275</v>
      </c>
      <c r="K68" s="71" t="s">
        <v>276</v>
      </c>
      <c r="L68" s="71" t="s">
        <v>277</v>
      </c>
      <c r="M68" s="71" t="s">
        <v>278</v>
      </c>
    </row>
    <row r="69" spans="1:13" s="80" customFormat="1">
      <c r="A69" s="93" t="s">
        <v>323</v>
      </c>
      <c r="D69" s="80">
        <v>211</v>
      </c>
      <c r="E69" s="80">
        <v>213</v>
      </c>
      <c r="F69" s="80">
        <v>221</v>
      </c>
      <c r="G69" s="80">
        <v>231</v>
      </c>
      <c r="H69" s="80">
        <v>241</v>
      </c>
      <c r="I69" s="80">
        <v>244</v>
      </c>
      <c r="J69" s="80">
        <v>251</v>
      </c>
      <c r="K69" s="80">
        <v>261</v>
      </c>
      <c r="L69" s="80">
        <v>281</v>
      </c>
      <c r="M69" s="80">
        <v>291</v>
      </c>
    </row>
    <row r="70" spans="1:13" s="83" customFormat="1">
      <c r="A70" s="87" t="s">
        <v>74</v>
      </c>
      <c r="B70" s="20" t="s">
        <v>325</v>
      </c>
      <c r="C70" s="92">
        <f t="shared" ref="C70:C91" si="6">SUM(D70:M70)</f>
        <v>0</v>
      </c>
      <c r="D70" s="88">
        <v>0</v>
      </c>
      <c r="E70" s="88">
        <v>0</v>
      </c>
      <c r="F70" s="88">
        <v>0</v>
      </c>
      <c r="G70" s="88">
        <v>0</v>
      </c>
      <c r="H70" s="88">
        <v>0</v>
      </c>
      <c r="I70" s="88">
        <v>0</v>
      </c>
      <c r="J70" s="88">
        <v>0</v>
      </c>
      <c r="K70" s="88">
        <v>0</v>
      </c>
      <c r="L70" s="88">
        <v>0</v>
      </c>
      <c r="M70" s="88">
        <v>0</v>
      </c>
    </row>
    <row r="71" spans="1:13">
      <c r="A71" s="87" t="s">
        <v>76</v>
      </c>
      <c r="B71" s="20" t="s">
        <v>326</v>
      </c>
      <c r="C71" s="92">
        <f t="shared" si="6"/>
        <v>0</v>
      </c>
      <c r="D71" s="88">
        <v>0</v>
      </c>
      <c r="E71" s="88">
        <v>0</v>
      </c>
      <c r="F71" s="88">
        <v>0</v>
      </c>
      <c r="G71" s="88">
        <v>0</v>
      </c>
      <c r="H71" s="88">
        <v>0</v>
      </c>
      <c r="I71" s="88">
        <v>0</v>
      </c>
      <c r="J71" s="88">
        <v>0</v>
      </c>
      <c r="K71" s="88">
        <v>0</v>
      </c>
      <c r="L71" s="88">
        <v>0</v>
      </c>
      <c r="M71" s="88">
        <v>0</v>
      </c>
    </row>
    <row r="72" spans="1:13" s="20" customFormat="1">
      <c r="A72" s="87" t="s">
        <v>77</v>
      </c>
      <c r="B72" s="20" t="s">
        <v>327</v>
      </c>
      <c r="C72" s="92">
        <f t="shared" si="6"/>
        <v>101310</v>
      </c>
      <c r="D72" s="88">
        <v>0</v>
      </c>
      <c r="E72" s="88">
        <v>0</v>
      </c>
      <c r="F72" s="88">
        <v>4000</v>
      </c>
      <c r="G72" s="88">
        <v>0</v>
      </c>
      <c r="H72" s="88">
        <v>0</v>
      </c>
      <c r="I72" s="88">
        <v>0</v>
      </c>
      <c r="J72" s="88">
        <v>0</v>
      </c>
      <c r="K72" s="88">
        <v>97310</v>
      </c>
      <c r="L72" s="88">
        <v>0</v>
      </c>
      <c r="M72" s="88">
        <v>0</v>
      </c>
    </row>
    <row r="73" spans="1:13" s="20" customFormat="1">
      <c r="A73" s="87" t="s">
        <v>78</v>
      </c>
      <c r="B73" s="20" t="s">
        <v>328</v>
      </c>
      <c r="C73" s="92">
        <f t="shared" si="6"/>
        <v>0</v>
      </c>
      <c r="D73" s="88">
        <v>0</v>
      </c>
      <c r="E73" s="88">
        <v>0</v>
      </c>
      <c r="F73" s="88">
        <v>0</v>
      </c>
      <c r="G73" s="88">
        <v>0</v>
      </c>
      <c r="H73" s="88">
        <v>0</v>
      </c>
      <c r="I73" s="88">
        <v>0</v>
      </c>
      <c r="J73" s="88">
        <v>0</v>
      </c>
      <c r="K73" s="88">
        <v>0</v>
      </c>
      <c r="L73" s="88">
        <v>0</v>
      </c>
      <c r="M73" s="88">
        <v>0</v>
      </c>
    </row>
    <row r="74" spans="1:13">
      <c r="A74" s="87" t="s">
        <v>79</v>
      </c>
      <c r="B74" s="20" t="s">
        <v>329</v>
      </c>
      <c r="C74" s="92">
        <f t="shared" si="6"/>
        <v>2729710</v>
      </c>
      <c r="D74" s="88">
        <v>16390</v>
      </c>
      <c r="E74" s="88">
        <v>325000</v>
      </c>
      <c r="F74" s="88">
        <v>573160</v>
      </c>
      <c r="G74" s="88">
        <v>0</v>
      </c>
      <c r="H74" s="88">
        <v>1406330</v>
      </c>
      <c r="I74" s="88">
        <v>0</v>
      </c>
      <c r="J74" s="88">
        <v>0</v>
      </c>
      <c r="K74" s="88">
        <v>408830</v>
      </c>
      <c r="L74" s="88">
        <v>0</v>
      </c>
      <c r="M74" s="88">
        <v>0</v>
      </c>
    </row>
    <row r="75" spans="1:13">
      <c r="A75" s="87" t="s">
        <v>80</v>
      </c>
      <c r="B75" s="20" t="s">
        <v>330</v>
      </c>
      <c r="C75" s="92">
        <f t="shared" si="6"/>
        <v>618690</v>
      </c>
      <c r="D75" s="88">
        <v>0</v>
      </c>
      <c r="E75" s="88">
        <v>0</v>
      </c>
      <c r="F75" s="88">
        <v>15000</v>
      </c>
      <c r="G75" s="88">
        <v>130520</v>
      </c>
      <c r="H75" s="88">
        <v>51090</v>
      </c>
      <c r="I75" s="88">
        <v>11710</v>
      </c>
      <c r="J75" s="88">
        <v>9490</v>
      </c>
      <c r="K75" s="88">
        <v>392890</v>
      </c>
      <c r="L75" s="88">
        <v>0</v>
      </c>
      <c r="M75" s="88">
        <v>7990</v>
      </c>
    </row>
    <row r="76" spans="1:13">
      <c r="A76" s="87" t="s">
        <v>81</v>
      </c>
      <c r="B76" s="20" t="s">
        <v>331</v>
      </c>
      <c r="C76" s="92">
        <f t="shared" si="6"/>
        <v>4725580</v>
      </c>
      <c r="D76" s="88">
        <v>1241040</v>
      </c>
      <c r="E76" s="88">
        <v>230000</v>
      </c>
      <c r="F76" s="88">
        <v>200000</v>
      </c>
      <c r="G76" s="88">
        <v>168630</v>
      </c>
      <c r="H76" s="88">
        <v>717760</v>
      </c>
      <c r="I76" s="88">
        <v>298740</v>
      </c>
      <c r="J76" s="88">
        <v>760920</v>
      </c>
      <c r="K76" s="88">
        <v>1104900</v>
      </c>
      <c r="L76" s="88">
        <v>0</v>
      </c>
      <c r="M76" s="88">
        <v>3590</v>
      </c>
    </row>
    <row r="77" spans="1:13">
      <c r="A77" s="87" t="s">
        <v>82</v>
      </c>
      <c r="B77" s="20" t="s">
        <v>332</v>
      </c>
      <c r="C77" s="92">
        <f t="shared" si="6"/>
        <v>789190</v>
      </c>
      <c r="D77" s="88">
        <v>0</v>
      </c>
      <c r="E77" s="88">
        <v>0</v>
      </c>
      <c r="F77" s="88">
        <v>0</v>
      </c>
      <c r="G77" s="88">
        <v>0</v>
      </c>
      <c r="H77" s="88">
        <v>789190</v>
      </c>
      <c r="I77" s="88">
        <v>0</v>
      </c>
      <c r="J77" s="88">
        <v>0</v>
      </c>
      <c r="K77" s="88">
        <v>0</v>
      </c>
      <c r="L77" s="88">
        <v>0</v>
      </c>
      <c r="M77" s="88">
        <v>0</v>
      </c>
    </row>
    <row r="78" spans="1:13">
      <c r="A78" s="87" t="s">
        <v>93</v>
      </c>
      <c r="B78" s="20" t="s">
        <v>333</v>
      </c>
      <c r="C78" s="92">
        <f t="shared" si="6"/>
        <v>163030</v>
      </c>
      <c r="D78" s="88">
        <v>21960</v>
      </c>
      <c r="E78" s="88">
        <v>0</v>
      </c>
      <c r="F78" s="88">
        <v>2000</v>
      </c>
      <c r="G78" s="88">
        <v>14360</v>
      </c>
      <c r="H78" s="88">
        <v>26330</v>
      </c>
      <c r="I78" s="88">
        <v>15040</v>
      </c>
      <c r="J78" s="88">
        <v>14690</v>
      </c>
      <c r="K78" s="88">
        <v>15470</v>
      </c>
      <c r="L78" s="88">
        <v>31200</v>
      </c>
      <c r="M78" s="88">
        <v>21980</v>
      </c>
    </row>
    <row r="79" spans="1:13">
      <c r="A79" s="87" t="s">
        <v>94</v>
      </c>
      <c r="B79" s="20" t="s">
        <v>334</v>
      </c>
      <c r="C79" s="92">
        <f t="shared" si="6"/>
        <v>284380</v>
      </c>
      <c r="D79" s="88">
        <v>10080</v>
      </c>
      <c r="E79" s="88">
        <v>11970</v>
      </c>
      <c r="F79" s="88">
        <v>0</v>
      </c>
      <c r="G79" s="88">
        <v>99290</v>
      </c>
      <c r="H79" s="88">
        <v>66410</v>
      </c>
      <c r="I79" s="88">
        <v>96630</v>
      </c>
      <c r="J79" s="88">
        <v>0</v>
      </c>
      <c r="K79" s="88">
        <v>0</v>
      </c>
      <c r="L79" s="88">
        <v>0</v>
      </c>
      <c r="M79" s="88">
        <v>0</v>
      </c>
    </row>
    <row r="80" spans="1:13">
      <c r="A80" s="87" t="s">
        <v>151</v>
      </c>
      <c r="B80" s="20" t="s">
        <v>335</v>
      </c>
      <c r="C80" s="92">
        <f t="shared" si="6"/>
        <v>0</v>
      </c>
      <c r="D80" s="88">
        <v>0</v>
      </c>
      <c r="E80" s="88">
        <v>0</v>
      </c>
      <c r="F80" s="88">
        <v>0</v>
      </c>
      <c r="G80" s="88">
        <v>0</v>
      </c>
      <c r="H80" s="88">
        <v>0</v>
      </c>
      <c r="I80" s="88">
        <v>0</v>
      </c>
      <c r="J80" s="88">
        <v>0</v>
      </c>
      <c r="K80" s="88">
        <v>0</v>
      </c>
      <c r="L80" s="88">
        <v>0</v>
      </c>
      <c r="M80" s="88">
        <v>0</v>
      </c>
    </row>
    <row r="81" spans="1:13">
      <c r="A81" s="87" t="s">
        <v>153</v>
      </c>
      <c r="B81" s="20" t="s">
        <v>336</v>
      </c>
      <c r="C81" s="92">
        <f t="shared" si="6"/>
        <v>0</v>
      </c>
      <c r="D81" s="88">
        <v>0</v>
      </c>
      <c r="E81" s="88">
        <v>0</v>
      </c>
      <c r="F81" s="88">
        <v>0</v>
      </c>
      <c r="G81" s="88">
        <v>0</v>
      </c>
      <c r="H81" s="88">
        <v>0</v>
      </c>
      <c r="I81" s="88">
        <v>0</v>
      </c>
      <c r="J81" s="88">
        <v>0</v>
      </c>
      <c r="K81" s="88">
        <v>0</v>
      </c>
      <c r="L81" s="88">
        <v>0</v>
      </c>
      <c r="M81" s="88">
        <v>0</v>
      </c>
    </row>
    <row r="82" spans="1:13">
      <c r="A82" s="87" t="s">
        <v>155</v>
      </c>
      <c r="B82" s="20" t="s">
        <v>337</v>
      </c>
      <c r="C82" s="92">
        <f t="shared" si="6"/>
        <v>129720</v>
      </c>
      <c r="D82" s="88">
        <v>71820</v>
      </c>
      <c r="E82" s="88">
        <v>0</v>
      </c>
      <c r="F82" s="88">
        <v>0</v>
      </c>
      <c r="G82" s="88">
        <v>0</v>
      </c>
      <c r="H82" s="88">
        <v>32260</v>
      </c>
      <c r="I82" s="88">
        <v>0</v>
      </c>
      <c r="J82" s="88">
        <v>0</v>
      </c>
      <c r="K82" s="88">
        <v>24470</v>
      </c>
      <c r="L82" s="88">
        <v>0</v>
      </c>
      <c r="M82" s="88">
        <v>1170</v>
      </c>
    </row>
    <row r="83" spans="1:13" s="7" customFormat="1">
      <c r="A83" s="87" t="s">
        <v>157</v>
      </c>
      <c r="B83" s="20" t="s">
        <v>338</v>
      </c>
      <c r="C83" s="92">
        <f t="shared" si="6"/>
        <v>38140</v>
      </c>
      <c r="D83" s="88">
        <v>0</v>
      </c>
      <c r="E83" s="88">
        <v>0</v>
      </c>
      <c r="F83" s="88">
        <v>3590</v>
      </c>
      <c r="G83" s="88">
        <v>0</v>
      </c>
      <c r="H83" s="88">
        <v>0</v>
      </c>
      <c r="I83" s="88">
        <v>0</v>
      </c>
      <c r="J83" s="88">
        <v>23850</v>
      </c>
      <c r="K83" s="88">
        <v>0</v>
      </c>
      <c r="L83" s="88">
        <v>10700</v>
      </c>
      <c r="M83" s="88">
        <v>0</v>
      </c>
    </row>
    <row r="84" spans="1:13" s="10" customFormat="1">
      <c r="A84" s="87" t="s">
        <v>159</v>
      </c>
      <c r="B84" s="20" t="s">
        <v>339</v>
      </c>
      <c r="C84" s="92">
        <f t="shared" si="6"/>
        <v>0</v>
      </c>
      <c r="D84" s="88">
        <v>0</v>
      </c>
      <c r="E84" s="88">
        <v>0</v>
      </c>
      <c r="F84" s="88"/>
      <c r="G84" s="88">
        <v>0</v>
      </c>
      <c r="H84" s="88">
        <v>0</v>
      </c>
      <c r="I84" s="88">
        <v>0</v>
      </c>
      <c r="J84" s="88">
        <v>0</v>
      </c>
      <c r="K84" s="88">
        <v>0</v>
      </c>
      <c r="L84" s="88">
        <v>0</v>
      </c>
      <c r="M84" s="88">
        <v>0</v>
      </c>
    </row>
    <row r="85" spans="1:13" s="10" customFormat="1">
      <c r="A85" s="87" t="s">
        <v>305</v>
      </c>
      <c r="B85" s="20" t="s">
        <v>340</v>
      </c>
      <c r="C85" s="92">
        <f t="shared" si="6"/>
        <v>3829820</v>
      </c>
      <c r="D85" s="88">
        <v>0</v>
      </c>
      <c r="E85" s="88">
        <v>0</v>
      </c>
      <c r="F85" s="88">
        <v>0</v>
      </c>
      <c r="G85" s="88">
        <v>0</v>
      </c>
      <c r="H85" s="88">
        <v>0</v>
      </c>
      <c r="I85" s="88">
        <v>0</v>
      </c>
      <c r="J85" s="88">
        <v>0</v>
      </c>
      <c r="K85" s="88">
        <v>3829820</v>
      </c>
      <c r="L85" s="88">
        <v>0</v>
      </c>
      <c r="M85" s="88">
        <v>0</v>
      </c>
    </row>
    <row r="86" spans="1:13" s="10" customFormat="1">
      <c r="A86" s="87" t="s">
        <v>129</v>
      </c>
      <c r="B86" s="20" t="s">
        <v>341</v>
      </c>
      <c r="C86" s="92">
        <f t="shared" si="6"/>
        <v>477620</v>
      </c>
      <c r="D86" s="88">
        <v>9550</v>
      </c>
      <c r="E86" s="88">
        <v>10170</v>
      </c>
      <c r="F86" s="88">
        <v>15000</v>
      </c>
      <c r="G86" s="88">
        <v>17950</v>
      </c>
      <c r="H86" s="88">
        <v>243540</v>
      </c>
      <c r="I86" s="88">
        <v>8380</v>
      </c>
      <c r="J86" s="88">
        <v>28240</v>
      </c>
      <c r="K86" s="88">
        <v>124340</v>
      </c>
      <c r="L86" s="88">
        <v>0</v>
      </c>
      <c r="M86" s="88">
        <v>20450</v>
      </c>
    </row>
    <row r="87" spans="1:13" s="10" customFormat="1">
      <c r="A87" s="87" t="s">
        <v>306</v>
      </c>
      <c r="B87" s="20" t="s">
        <v>342</v>
      </c>
      <c r="C87" s="92">
        <f t="shared" si="6"/>
        <v>0</v>
      </c>
      <c r="D87" s="88">
        <v>0</v>
      </c>
      <c r="E87" s="88">
        <v>0</v>
      </c>
      <c r="F87" s="88">
        <v>0</v>
      </c>
      <c r="G87" s="88">
        <v>0</v>
      </c>
      <c r="H87" s="88">
        <v>0</v>
      </c>
      <c r="I87" s="88">
        <v>0</v>
      </c>
      <c r="J87" s="88">
        <v>0</v>
      </c>
      <c r="K87" s="88">
        <v>0</v>
      </c>
      <c r="L87" s="88">
        <v>0</v>
      </c>
      <c r="M87" s="88">
        <v>0</v>
      </c>
    </row>
    <row r="88" spans="1:13" s="10" customFormat="1">
      <c r="A88" s="87" t="s">
        <v>216</v>
      </c>
      <c r="B88" s="20" t="s">
        <v>343</v>
      </c>
      <c r="C88" s="92">
        <f t="shared" si="6"/>
        <v>0</v>
      </c>
      <c r="D88" s="88">
        <v>0</v>
      </c>
      <c r="E88" s="88">
        <v>0</v>
      </c>
      <c r="F88" s="88">
        <v>0</v>
      </c>
      <c r="G88" s="88">
        <v>0</v>
      </c>
      <c r="H88" s="88">
        <v>0</v>
      </c>
      <c r="I88" s="88">
        <v>0</v>
      </c>
      <c r="J88" s="88">
        <v>0</v>
      </c>
      <c r="K88" s="88">
        <v>0</v>
      </c>
      <c r="L88" s="88">
        <v>0</v>
      </c>
      <c r="M88" s="88">
        <v>0</v>
      </c>
    </row>
    <row r="89" spans="1:13" s="10" customFormat="1">
      <c r="A89" s="87" t="s">
        <v>347</v>
      </c>
      <c r="B89" s="20" t="s">
        <v>344</v>
      </c>
      <c r="C89" s="92">
        <f t="shared" si="6"/>
        <v>7917410</v>
      </c>
      <c r="D89" s="88">
        <v>0</v>
      </c>
      <c r="E89" s="88">
        <v>45000</v>
      </c>
      <c r="F89" s="88">
        <v>0</v>
      </c>
      <c r="G89" s="88">
        <v>0</v>
      </c>
      <c r="H89" s="88">
        <v>7542600</v>
      </c>
      <c r="I89" s="88">
        <v>98420</v>
      </c>
      <c r="J89" s="88">
        <v>21210</v>
      </c>
      <c r="K89" s="88">
        <v>0</v>
      </c>
      <c r="L89" s="88">
        <v>150090</v>
      </c>
      <c r="M89" s="88">
        <v>60090</v>
      </c>
    </row>
    <row r="90" spans="1:13" s="10" customFormat="1">
      <c r="A90" s="87" t="s">
        <v>218</v>
      </c>
      <c r="B90" s="20" t="s">
        <v>345</v>
      </c>
      <c r="C90" s="92">
        <f t="shared" si="6"/>
        <v>5919490</v>
      </c>
      <c r="D90" s="88">
        <v>560440</v>
      </c>
      <c r="E90" s="88">
        <v>10170</v>
      </c>
      <c r="F90" s="88">
        <v>317260</v>
      </c>
      <c r="G90" s="88">
        <v>183760</v>
      </c>
      <c r="H90" s="88">
        <v>215460</v>
      </c>
      <c r="I90" s="88">
        <v>135590</v>
      </c>
      <c r="J90" s="88">
        <v>132470</v>
      </c>
      <c r="K90" s="88">
        <v>4336530</v>
      </c>
      <c r="L90" s="88">
        <v>0</v>
      </c>
      <c r="M90" s="88">
        <v>27810</v>
      </c>
    </row>
    <row r="91" spans="1:13">
      <c r="A91" s="87" t="s">
        <v>348</v>
      </c>
      <c r="B91" s="20" t="s">
        <v>346</v>
      </c>
      <c r="C91" s="92">
        <f t="shared" si="6"/>
        <v>12983030</v>
      </c>
      <c r="D91" s="363">
        <v>329140</v>
      </c>
      <c r="E91" s="88">
        <v>1016750</v>
      </c>
      <c r="F91" s="88">
        <v>612750</v>
      </c>
      <c r="G91" s="88">
        <v>560750</v>
      </c>
      <c r="H91" s="88">
        <v>2262290</v>
      </c>
      <c r="I91" s="88">
        <v>1297730</v>
      </c>
      <c r="J91" s="88">
        <v>3464520</v>
      </c>
      <c r="K91" s="88">
        <v>758170</v>
      </c>
      <c r="L91" s="88">
        <v>1604300</v>
      </c>
      <c r="M91" s="88">
        <v>1076630</v>
      </c>
    </row>
    <row r="92" spans="1:13" s="7" customFormat="1">
      <c r="A92" s="67"/>
      <c r="B92" s="89" t="s">
        <v>300</v>
      </c>
      <c r="C92" s="72">
        <f t="shared" ref="C92:M92" si="7">SUM(C70:C91)</f>
        <v>40707120</v>
      </c>
      <c r="D92" s="72">
        <f t="shared" si="7"/>
        <v>2260420</v>
      </c>
      <c r="E92" s="72">
        <f t="shared" si="7"/>
        <v>1649060</v>
      </c>
      <c r="F92" s="72">
        <f t="shared" si="7"/>
        <v>1742760</v>
      </c>
      <c r="G92" s="72">
        <f t="shared" si="7"/>
        <v>1175260</v>
      </c>
      <c r="H92" s="72">
        <f t="shared" si="7"/>
        <v>13353260</v>
      </c>
      <c r="I92" s="72">
        <f t="shared" si="7"/>
        <v>1962240</v>
      </c>
      <c r="J92" s="72">
        <f t="shared" si="7"/>
        <v>4455390</v>
      </c>
      <c r="K92" s="72">
        <f t="shared" si="7"/>
        <v>11092730</v>
      </c>
      <c r="L92" s="72">
        <f t="shared" si="7"/>
        <v>1796290</v>
      </c>
      <c r="M92" s="72">
        <f t="shared" si="7"/>
        <v>1219710</v>
      </c>
    </row>
    <row r="94" spans="1:13" s="9" customFormat="1" ht="12">
      <c r="A94" s="71" t="s">
        <v>69</v>
      </c>
      <c r="B94" s="71" t="s">
        <v>349</v>
      </c>
      <c r="C94" s="71" t="s">
        <v>239</v>
      </c>
      <c r="D94" s="71" t="s">
        <v>285</v>
      </c>
      <c r="E94" s="71" t="s">
        <v>270</v>
      </c>
      <c r="F94" s="71" t="s">
        <v>271</v>
      </c>
      <c r="G94" s="71" t="s">
        <v>272</v>
      </c>
      <c r="H94" s="71" t="s">
        <v>273</v>
      </c>
      <c r="I94" s="71" t="s">
        <v>274</v>
      </c>
      <c r="J94" s="71" t="s">
        <v>275</v>
      </c>
      <c r="K94" s="71" t="s">
        <v>276</v>
      </c>
      <c r="L94" s="71" t="s">
        <v>277</v>
      </c>
      <c r="M94" s="71" t="s">
        <v>278</v>
      </c>
    </row>
    <row r="95" spans="1:13" s="80" customFormat="1">
      <c r="A95" s="93" t="s">
        <v>350</v>
      </c>
      <c r="D95" s="80">
        <v>211</v>
      </c>
      <c r="E95" s="80">
        <v>213</v>
      </c>
      <c r="F95" s="80">
        <v>221</v>
      </c>
      <c r="G95" s="80">
        <v>231</v>
      </c>
      <c r="H95" s="80">
        <v>241</v>
      </c>
      <c r="I95" s="80">
        <v>244</v>
      </c>
      <c r="J95" s="80">
        <v>251</v>
      </c>
      <c r="K95" s="80">
        <v>261</v>
      </c>
      <c r="L95" s="80">
        <v>281</v>
      </c>
      <c r="M95" s="80">
        <v>291</v>
      </c>
    </row>
    <row r="96" spans="1:13" s="83" customFormat="1">
      <c r="A96" s="87" t="s">
        <v>74</v>
      </c>
      <c r="B96" s="20" t="s">
        <v>351</v>
      </c>
      <c r="C96" s="92">
        <f t="shared" ref="C96:C106" si="8">SUM(D96:M96)</f>
        <v>0</v>
      </c>
      <c r="D96" s="88">
        <v>0</v>
      </c>
      <c r="E96" s="88">
        <v>0</v>
      </c>
      <c r="F96" s="88">
        <v>0</v>
      </c>
      <c r="G96" s="88">
        <v>0</v>
      </c>
      <c r="H96" s="88">
        <v>0</v>
      </c>
      <c r="I96" s="88">
        <v>0</v>
      </c>
      <c r="J96" s="88">
        <v>0</v>
      </c>
      <c r="K96" s="88">
        <v>0</v>
      </c>
      <c r="L96" s="88">
        <v>0</v>
      </c>
      <c r="M96" s="88">
        <v>0</v>
      </c>
    </row>
    <row r="97" spans="1:13">
      <c r="A97" s="87" t="s">
        <v>76</v>
      </c>
      <c r="B97" s="20" t="s">
        <v>352</v>
      </c>
      <c r="C97" s="92">
        <f t="shared" si="8"/>
        <v>9220</v>
      </c>
      <c r="D97" s="88">
        <v>0</v>
      </c>
      <c r="E97" s="88">
        <v>0</v>
      </c>
      <c r="F97" s="88">
        <v>0</v>
      </c>
      <c r="G97" s="88">
        <v>0</v>
      </c>
      <c r="H97" s="88">
        <v>0</v>
      </c>
      <c r="I97" s="88">
        <v>0</v>
      </c>
      <c r="J97" s="88">
        <v>9220</v>
      </c>
      <c r="K97" s="88">
        <v>0</v>
      </c>
      <c r="L97" s="88">
        <v>0</v>
      </c>
      <c r="M97" s="88">
        <v>0</v>
      </c>
    </row>
    <row r="98" spans="1:13" s="20" customFormat="1">
      <c r="A98" s="87" t="s">
        <v>77</v>
      </c>
      <c r="B98" s="20" t="s">
        <v>353</v>
      </c>
      <c r="C98" s="92">
        <f t="shared" si="8"/>
        <v>1330000</v>
      </c>
      <c r="D98" s="88">
        <v>0</v>
      </c>
      <c r="E98" s="88">
        <v>0</v>
      </c>
      <c r="F98" s="88">
        <v>450000</v>
      </c>
      <c r="G98" s="88">
        <v>0</v>
      </c>
      <c r="H98" s="88">
        <v>0</v>
      </c>
      <c r="I98" s="88">
        <v>0</v>
      </c>
      <c r="J98" s="88">
        <v>0</v>
      </c>
      <c r="K98" s="88">
        <v>0</v>
      </c>
      <c r="L98" s="88">
        <v>880000</v>
      </c>
      <c r="M98" s="88">
        <v>0</v>
      </c>
    </row>
    <row r="99" spans="1:13" s="20" customFormat="1">
      <c r="A99" s="87" t="s">
        <v>78</v>
      </c>
      <c r="B99" s="20" t="s">
        <v>354</v>
      </c>
      <c r="C99" s="92">
        <f t="shared" si="8"/>
        <v>54860</v>
      </c>
      <c r="D99" s="88">
        <v>0</v>
      </c>
      <c r="E99" s="88">
        <v>0</v>
      </c>
      <c r="F99" s="88">
        <v>0</v>
      </c>
      <c r="G99" s="88">
        <v>0</v>
      </c>
      <c r="H99" s="88">
        <v>0</v>
      </c>
      <c r="I99" s="88">
        <v>0</v>
      </c>
      <c r="J99" s="88">
        <v>0</v>
      </c>
      <c r="K99" s="88">
        <v>0</v>
      </c>
      <c r="L99" s="88">
        <v>54860</v>
      </c>
      <c r="M99" s="88">
        <v>0</v>
      </c>
    </row>
    <row r="100" spans="1:13">
      <c r="A100" s="87" t="s">
        <v>79</v>
      </c>
      <c r="B100" s="20" t="s">
        <v>355</v>
      </c>
      <c r="C100" s="92">
        <f t="shared" si="8"/>
        <v>107350</v>
      </c>
      <c r="D100" s="88">
        <v>0</v>
      </c>
      <c r="E100" s="88">
        <v>0</v>
      </c>
      <c r="F100" s="88">
        <v>0</v>
      </c>
      <c r="G100" s="88">
        <v>30760</v>
      </c>
      <c r="H100" s="88">
        <v>0</v>
      </c>
      <c r="I100" s="88">
        <v>76590</v>
      </c>
      <c r="J100" s="88">
        <v>0</v>
      </c>
      <c r="K100" s="88">
        <v>0</v>
      </c>
      <c r="L100" s="88">
        <v>0</v>
      </c>
      <c r="M100" s="88">
        <v>0</v>
      </c>
    </row>
    <row r="101" spans="1:13">
      <c r="A101" s="87" t="s">
        <v>80</v>
      </c>
      <c r="B101" s="20" t="s">
        <v>356</v>
      </c>
      <c r="C101" s="92">
        <f t="shared" si="8"/>
        <v>1900000</v>
      </c>
      <c r="D101" s="88">
        <v>0</v>
      </c>
      <c r="E101" s="88">
        <v>0</v>
      </c>
      <c r="F101" s="88">
        <v>0</v>
      </c>
      <c r="G101" s="88">
        <v>0</v>
      </c>
      <c r="H101" s="88">
        <v>0</v>
      </c>
      <c r="I101" s="88">
        <v>0</v>
      </c>
      <c r="J101" s="88">
        <v>0</v>
      </c>
      <c r="K101" s="88">
        <v>1900000</v>
      </c>
      <c r="L101" s="88">
        <v>0</v>
      </c>
      <c r="M101" s="88">
        <v>0</v>
      </c>
    </row>
    <row r="102" spans="1:13">
      <c r="A102" s="87" t="s">
        <v>81</v>
      </c>
      <c r="B102" s="20" t="s">
        <v>357</v>
      </c>
      <c r="C102" s="92">
        <f t="shared" si="8"/>
        <v>17950</v>
      </c>
      <c r="D102" s="88">
        <v>0</v>
      </c>
      <c r="E102" s="88">
        <v>0</v>
      </c>
      <c r="F102" s="88">
        <v>0</v>
      </c>
      <c r="G102" s="88">
        <v>0</v>
      </c>
      <c r="H102" s="88">
        <v>17950</v>
      </c>
      <c r="I102" s="88">
        <v>0</v>
      </c>
      <c r="J102" s="88">
        <v>0</v>
      </c>
      <c r="K102" s="88">
        <v>0</v>
      </c>
      <c r="L102" s="88">
        <v>0</v>
      </c>
      <c r="M102" s="88">
        <v>0</v>
      </c>
    </row>
    <row r="103" spans="1:13">
      <c r="A103" s="87" t="s">
        <v>82</v>
      </c>
      <c r="B103" s="20" t="s">
        <v>358</v>
      </c>
      <c r="C103" s="92">
        <f t="shared" si="8"/>
        <v>36610</v>
      </c>
      <c r="D103" s="88">
        <v>0</v>
      </c>
      <c r="E103" s="88">
        <v>25000</v>
      </c>
      <c r="F103" s="88">
        <v>0</v>
      </c>
      <c r="G103" s="88">
        <v>0</v>
      </c>
      <c r="H103" s="88">
        <v>0</v>
      </c>
      <c r="I103" s="88">
        <v>0</v>
      </c>
      <c r="J103" s="88">
        <v>0</v>
      </c>
      <c r="K103" s="88">
        <v>0</v>
      </c>
      <c r="L103" s="88">
        <v>0</v>
      </c>
      <c r="M103" s="88">
        <v>11610</v>
      </c>
    </row>
    <row r="104" spans="1:13">
      <c r="A104" s="87" t="s">
        <v>93</v>
      </c>
      <c r="B104" s="20" t="s">
        <v>359</v>
      </c>
      <c r="C104" s="92">
        <f t="shared" si="8"/>
        <v>22020</v>
      </c>
      <c r="D104" s="88">
        <v>0</v>
      </c>
      <c r="E104" s="88">
        <v>15000</v>
      </c>
      <c r="F104" s="88">
        <v>0</v>
      </c>
      <c r="G104" s="88">
        <v>0</v>
      </c>
      <c r="H104" s="88">
        <v>0</v>
      </c>
      <c r="I104" s="88">
        <v>0</v>
      </c>
      <c r="J104" s="88">
        <v>0</v>
      </c>
      <c r="K104" s="88">
        <v>0</v>
      </c>
      <c r="L104" s="88">
        <v>0</v>
      </c>
      <c r="M104" s="88">
        <v>7020</v>
      </c>
    </row>
    <row r="105" spans="1:13">
      <c r="A105" s="87" t="s">
        <v>94</v>
      </c>
      <c r="B105" s="20" t="s">
        <v>360</v>
      </c>
      <c r="C105" s="92">
        <f t="shared" si="8"/>
        <v>117000</v>
      </c>
      <c r="D105" s="88">
        <v>0</v>
      </c>
      <c r="E105" s="88">
        <v>0</v>
      </c>
      <c r="F105" s="88">
        <v>0</v>
      </c>
      <c r="G105" s="88">
        <v>0</v>
      </c>
      <c r="H105" s="88">
        <v>0</v>
      </c>
      <c r="I105" s="88">
        <v>0</v>
      </c>
      <c r="J105" s="88">
        <v>0</v>
      </c>
      <c r="K105" s="88">
        <v>117000</v>
      </c>
      <c r="L105" s="88">
        <v>0</v>
      </c>
      <c r="M105" s="88">
        <v>0</v>
      </c>
    </row>
    <row r="106" spans="1:13">
      <c r="A106" s="87" t="s">
        <v>362</v>
      </c>
      <c r="B106" s="20" t="s">
        <v>361</v>
      </c>
      <c r="C106" s="92">
        <f t="shared" si="8"/>
        <v>372820</v>
      </c>
      <c r="D106" s="88">
        <v>204010</v>
      </c>
      <c r="E106" s="88">
        <v>8000</v>
      </c>
      <c r="F106" s="88">
        <v>17830</v>
      </c>
      <c r="G106" s="88">
        <v>91280</v>
      </c>
      <c r="H106" s="88">
        <v>8020</v>
      </c>
      <c r="I106" s="88">
        <v>0</v>
      </c>
      <c r="J106" s="88">
        <v>43680</v>
      </c>
      <c r="K106" s="88">
        <v>0</v>
      </c>
      <c r="L106" s="88">
        <v>0</v>
      </c>
      <c r="M106" s="88">
        <v>0</v>
      </c>
    </row>
    <row r="107" spans="1:13" s="7" customFormat="1">
      <c r="A107" s="67"/>
      <c r="B107" s="89" t="s">
        <v>300</v>
      </c>
      <c r="C107" s="72">
        <f t="shared" ref="C107:M107" si="9">SUM(C96:C106)</f>
        <v>3967830</v>
      </c>
      <c r="D107" s="72">
        <f t="shared" si="9"/>
        <v>204010</v>
      </c>
      <c r="E107" s="72">
        <f t="shared" si="9"/>
        <v>48000</v>
      </c>
      <c r="F107" s="72">
        <f t="shared" si="9"/>
        <v>467830</v>
      </c>
      <c r="G107" s="72">
        <f t="shared" si="9"/>
        <v>122040</v>
      </c>
      <c r="H107" s="72">
        <f t="shared" si="9"/>
        <v>25970</v>
      </c>
      <c r="I107" s="72">
        <f t="shared" si="9"/>
        <v>76590</v>
      </c>
      <c r="J107" s="72">
        <f t="shared" si="9"/>
        <v>52900</v>
      </c>
      <c r="K107" s="72">
        <f t="shared" si="9"/>
        <v>2017000</v>
      </c>
      <c r="L107" s="72">
        <f t="shared" si="9"/>
        <v>934860</v>
      </c>
      <c r="M107" s="72">
        <f t="shared" si="9"/>
        <v>18630</v>
      </c>
    </row>
    <row r="109" spans="1:13" s="9" customFormat="1" ht="12">
      <c r="A109" s="71" t="s">
        <v>69</v>
      </c>
      <c r="B109" s="71" t="s">
        <v>375</v>
      </c>
      <c r="C109" s="71" t="s">
        <v>239</v>
      </c>
      <c r="D109" s="71" t="s">
        <v>285</v>
      </c>
      <c r="E109" s="71" t="s">
        <v>270</v>
      </c>
      <c r="F109" s="71" t="s">
        <v>271</v>
      </c>
      <c r="G109" s="71" t="s">
        <v>272</v>
      </c>
      <c r="H109" s="71" t="s">
        <v>273</v>
      </c>
      <c r="I109" s="71" t="s">
        <v>274</v>
      </c>
      <c r="J109" s="71" t="s">
        <v>275</v>
      </c>
      <c r="K109" s="71" t="s">
        <v>276</v>
      </c>
      <c r="L109" s="71" t="s">
        <v>277</v>
      </c>
      <c r="M109" s="71" t="s">
        <v>278</v>
      </c>
    </row>
    <row r="110" spans="1:13" s="80" customFormat="1">
      <c r="A110" s="9"/>
      <c r="D110" s="80">
        <v>211</v>
      </c>
      <c r="E110" s="80">
        <v>213</v>
      </c>
      <c r="F110" s="80">
        <v>221</v>
      </c>
      <c r="G110" s="80">
        <v>231</v>
      </c>
      <c r="H110" s="80">
        <v>241</v>
      </c>
      <c r="I110" s="80">
        <v>244</v>
      </c>
      <c r="J110" s="80">
        <v>251</v>
      </c>
      <c r="K110" s="80">
        <v>261</v>
      </c>
      <c r="L110" s="80">
        <v>281</v>
      </c>
      <c r="M110" s="80">
        <v>291</v>
      </c>
    </row>
    <row r="111" spans="1:13" s="10" customFormat="1">
      <c r="A111" s="90" t="s">
        <v>366</v>
      </c>
      <c r="B111" s="91" t="s">
        <v>364</v>
      </c>
      <c r="C111" s="92">
        <f t="shared" ref="C111:C123" si="10">SUM(D111:M111)</f>
        <v>0</v>
      </c>
      <c r="D111" s="92">
        <f>+D112</f>
        <v>0</v>
      </c>
      <c r="E111" s="92">
        <f t="shared" ref="E111:M111" si="11">+E112</f>
        <v>0</v>
      </c>
      <c r="F111" s="92">
        <f t="shared" si="11"/>
        <v>0</v>
      </c>
      <c r="G111" s="92">
        <f t="shared" si="11"/>
        <v>0</v>
      </c>
      <c r="H111" s="92">
        <f t="shared" si="11"/>
        <v>0</v>
      </c>
      <c r="I111" s="92">
        <f t="shared" si="11"/>
        <v>0</v>
      </c>
      <c r="J111" s="92">
        <f t="shared" si="11"/>
        <v>0</v>
      </c>
      <c r="K111" s="92">
        <f t="shared" si="11"/>
        <v>0</v>
      </c>
      <c r="L111" s="92">
        <f t="shared" si="11"/>
        <v>0</v>
      </c>
      <c r="M111" s="92">
        <f t="shared" si="11"/>
        <v>0</v>
      </c>
    </row>
    <row r="112" spans="1:13">
      <c r="A112" s="87" t="s">
        <v>363</v>
      </c>
      <c r="B112" s="20" t="s">
        <v>365</v>
      </c>
      <c r="C112" s="84">
        <f t="shared" si="10"/>
        <v>0</v>
      </c>
      <c r="D112" s="88">
        <v>0</v>
      </c>
      <c r="E112" s="88">
        <v>0</v>
      </c>
      <c r="F112" s="88">
        <v>0</v>
      </c>
      <c r="G112" s="88">
        <v>0</v>
      </c>
      <c r="H112" s="88">
        <v>0</v>
      </c>
      <c r="I112" s="88">
        <v>0</v>
      </c>
      <c r="J112" s="88">
        <v>0</v>
      </c>
      <c r="K112" s="88">
        <v>0</v>
      </c>
      <c r="L112" s="88">
        <v>0</v>
      </c>
      <c r="M112" s="88">
        <v>0</v>
      </c>
    </row>
    <row r="113" spans="1:13" s="10" customFormat="1">
      <c r="A113" s="90" t="s">
        <v>367</v>
      </c>
      <c r="B113" s="91" t="s">
        <v>369</v>
      </c>
      <c r="C113" s="92">
        <f t="shared" si="10"/>
        <v>2633860</v>
      </c>
      <c r="D113" s="92">
        <f t="shared" ref="D113:M113" si="12">+D114</f>
        <v>929650</v>
      </c>
      <c r="E113" s="92">
        <f t="shared" si="12"/>
        <v>0</v>
      </c>
      <c r="F113" s="92">
        <f t="shared" si="12"/>
        <v>0</v>
      </c>
      <c r="G113" s="92">
        <f t="shared" si="12"/>
        <v>0</v>
      </c>
      <c r="H113" s="92">
        <f t="shared" si="12"/>
        <v>0</v>
      </c>
      <c r="I113" s="92">
        <f t="shared" si="12"/>
        <v>0</v>
      </c>
      <c r="J113" s="92">
        <f t="shared" si="12"/>
        <v>1704210</v>
      </c>
      <c r="K113" s="92">
        <f t="shared" si="12"/>
        <v>0</v>
      </c>
      <c r="L113" s="92">
        <f t="shared" si="12"/>
        <v>0</v>
      </c>
      <c r="M113" s="92">
        <f t="shared" si="12"/>
        <v>0</v>
      </c>
    </row>
    <row r="114" spans="1:13">
      <c r="A114" s="87" t="s">
        <v>368</v>
      </c>
      <c r="B114" s="20" t="s">
        <v>370</v>
      </c>
      <c r="C114" s="84">
        <f t="shared" si="10"/>
        <v>2633860</v>
      </c>
      <c r="D114" s="88">
        <v>929650</v>
      </c>
      <c r="E114" s="88">
        <v>0</v>
      </c>
      <c r="F114" s="88">
        <v>0</v>
      </c>
      <c r="G114" s="88">
        <v>0</v>
      </c>
      <c r="H114" s="88">
        <v>0</v>
      </c>
      <c r="I114" s="88">
        <v>0</v>
      </c>
      <c r="J114" s="88">
        <v>1704210</v>
      </c>
      <c r="K114" s="88">
        <v>0</v>
      </c>
      <c r="L114" s="88">
        <v>0</v>
      </c>
      <c r="M114" s="88">
        <v>0</v>
      </c>
    </row>
    <row r="115" spans="1:13" s="10" customFormat="1">
      <c r="A115" s="90" t="s">
        <v>386</v>
      </c>
      <c r="B115" s="91" t="s">
        <v>387</v>
      </c>
      <c r="C115" s="92">
        <f t="shared" si="10"/>
        <v>0</v>
      </c>
      <c r="D115" s="92"/>
      <c r="E115" s="92">
        <f t="shared" ref="E115:M115" si="13">+E116</f>
        <v>0</v>
      </c>
      <c r="F115" s="92">
        <f t="shared" si="13"/>
        <v>0</v>
      </c>
      <c r="G115" s="92">
        <f t="shared" si="13"/>
        <v>0</v>
      </c>
      <c r="H115" s="92">
        <f t="shared" si="13"/>
        <v>0</v>
      </c>
      <c r="I115" s="92">
        <f t="shared" si="13"/>
        <v>0</v>
      </c>
      <c r="J115" s="92">
        <f t="shared" si="13"/>
        <v>0</v>
      </c>
      <c r="K115" s="92">
        <f t="shared" si="13"/>
        <v>0</v>
      </c>
      <c r="L115" s="92">
        <f t="shared" si="13"/>
        <v>0</v>
      </c>
      <c r="M115" s="92">
        <f t="shared" si="13"/>
        <v>0</v>
      </c>
    </row>
    <row r="116" spans="1:13">
      <c r="A116" s="87" t="s">
        <v>386</v>
      </c>
      <c r="B116" s="20" t="s">
        <v>388</v>
      </c>
      <c r="C116" s="84">
        <f t="shared" si="10"/>
        <v>0</v>
      </c>
      <c r="D116" s="88">
        <v>0</v>
      </c>
      <c r="E116" s="88">
        <v>0</v>
      </c>
      <c r="F116" s="88">
        <v>0</v>
      </c>
      <c r="G116" s="88">
        <v>0</v>
      </c>
      <c r="H116" s="88">
        <v>0</v>
      </c>
      <c r="I116" s="88">
        <v>0</v>
      </c>
      <c r="J116" s="88">
        <v>0</v>
      </c>
      <c r="K116" s="88">
        <v>0</v>
      </c>
      <c r="L116" s="88">
        <v>0</v>
      </c>
      <c r="M116" s="88">
        <v>0</v>
      </c>
    </row>
    <row r="117" spans="1:13" s="10" customFormat="1">
      <c r="A117" s="90" t="s">
        <v>371</v>
      </c>
      <c r="B117" s="91" t="s">
        <v>372</v>
      </c>
      <c r="C117" s="92">
        <f t="shared" si="10"/>
        <v>215460</v>
      </c>
      <c r="D117" s="92">
        <f t="shared" ref="D117:M117" si="14">+D118</f>
        <v>0</v>
      </c>
      <c r="E117" s="92">
        <f t="shared" si="14"/>
        <v>0</v>
      </c>
      <c r="F117" s="92">
        <f t="shared" si="14"/>
        <v>0</v>
      </c>
      <c r="G117" s="92">
        <f t="shared" si="14"/>
        <v>0</v>
      </c>
      <c r="H117" s="92">
        <f t="shared" si="14"/>
        <v>0</v>
      </c>
      <c r="I117" s="92">
        <f t="shared" si="14"/>
        <v>0</v>
      </c>
      <c r="J117" s="92">
        <f t="shared" si="14"/>
        <v>0</v>
      </c>
      <c r="K117" s="92">
        <f t="shared" si="14"/>
        <v>0</v>
      </c>
      <c r="L117" s="92">
        <f t="shared" si="14"/>
        <v>0</v>
      </c>
      <c r="M117" s="92">
        <f t="shared" si="14"/>
        <v>215460</v>
      </c>
    </row>
    <row r="118" spans="1:13">
      <c r="A118" s="87" t="s">
        <v>374</v>
      </c>
      <c r="B118" s="20" t="s">
        <v>373</v>
      </c>
      <c r="C118" s="84">
        <f t="shared" si="10"/>
        <v>215460</v>
      </c>
      <c r="D118" s="88">
        <v>0</v>
      </c>
      <c r="E118" s="88">
        <v>0</v>
      </c>
      <c r="F118" s="88">
        <v>0</v>
      </c>
      <c r="G118" s="88">
        <v>0</v>
      </c>
      <c r="H118" s="88">
        <v>0</v>
      </c>
      <c r="I118" s="88">
        <v>0</v>
      </c>
      <c r="J118" s="88">
        <v>0</v>
      </c>
      <c r="K118" s="88">
        <v>0</v>
      </c>
      <c r="L118" s="88">
        <v>0</v>
      </c>
      <c r="M118" s="88">
        <v>215460</v>
      </c>
    </row>
    <row r="119" spans="1:13" s="10" customFormat="1">
      <c r="A119" s="90" t="s">
        <v>376</v>
      </c>
      <c r="B119" s="91" t="s">
        <v>377</v>
      </c>
      <c r="C119" s="92">
        <f t="shared" si="10"/>
        <v>0</v>
      </c>
      <c r="D119" s="92">
        <f t="shared" ref="D119:M119" si="15">+D120</f>
        <v>0</v>
      </c>
      <c r="E119" s="92">
        <f t="shared" si="15"/>
        <v>0</v>
      </c>
      <c r="F119" s="92">
        <f t="shared" si="15"/>
        <v>0</v>
      </c>
      <c r="G119" s="92">
        <f t="shared" si="15"/>
        <v>0</v>
      </c>
      <c r="H119" s="92">
        <f t="shared" si="15"/>
        <v>0</v>
      </c>
      <c r="I119" s="92">
        <f t="shared" si="15"/>
        <v>0</v>
      </c>
      <c r="J119" s="92">
        <f t="shared" si="15"/>
        <v>0</v>
      </c>
      <c r="K119" s="92">
        <f t="shared" si="15"/>
        <v>0</v>
      </c>
      <c r="L119" s="92">
        <f t="shared" si="15"/>
        <v>0</v>
      </c>
      <c r="M119" s="92">
        <f t="shared" si="15"/>
        <v>0</v>
      </c>
    </row>
    <row r="120" spans="1:13">
      <c r="A120" s="87" t="s">
        <v>378</v>
      </c>
      <c r="B120" s="20" t="s">
        <v>379</v>
      </c>
      <c r="C120" s="84">
        <f t="shared" si="10"/>
        <v>0</v>
      </c>
      <c r="D120" s="88">
        <v>0</v>
      </c>
      <c r="E120" s="88">
        <v>0</v>
      </c>
      <c r="F120" s="88">
        <v>0</v>
      </c>
      <c r="G120" s="88">
        <v>0</v>
      </c>
      <c r="H120" s="88">
        <v>0</v>
      </c>
      <c r="I120" s="88">
        <v>0</v>
      </c>
      <c r="J120" s="88">
        <v>0</v>
      </c>
      <c r="K120" s="88">
        <v>0</v>
      </c>
      <c r="L120" s="88">
        <v>0</v>
      </c>
      <c r="M120" s="88">
        <v>0</v>
      </c>
    </row>
    <row r="121" spans="1:13" s="10" customFormat="1">
      <c r="A121" s="90" t="s">
        <v>380</v>
      </c>
      <c r="B121" s="91" t="s">
        <v>381</v>
      </c>
      <c r="C121" s="92">
        <f t="shared" si="10"/>
        <v>0</v>
      </c>
      <c r="D121" s="92">
        <f>SUM(D122:D123)</f>
        <v>0</v>
      </c>
      <c r="E121" s="92">
        <f t="shared" ref="E121:M121" si="16">SUM(E122:E123)</f>
        <v>0</v>
      </c>
      <c r="F121" s="92">
        <f t="shared" si="16"/>
        <v>0</v>
      </c>
      <c r="G121" s="92">
        <f t="shared" si="16"/>
        <v>0</v>
      </c>
      <c r="H121" s="92">
        <f t="shared" si="16"/>
        <v>0</v>
      </c>
      <c r="I121" s="92">
        <f t="shared" si="16"/>
        <v>0</v>
      </c>
      <c r="J121" s="92">
        <f t="shared" si="16"/>
        <v>0</v>
      </c>
      <c r="K121" s="92">
        <f t="shared" si="16"/>
        <v>0</v>
      </c>
      <c r="L121" s="92">
        <f t="shared" si="16"/>
        <v>0</v>
      </c>
      <c r="M121" s="92">
        <f t="shared" si="16"/>
        <v>0</v>
      </c>
    </row>
    <row r="122" spans="1:13">
      <c r="A122" s="87" t="s">
        <v>382</v>
      </c>
      <c r="B122" s="20" t="s">
        <v>384</v>
      </c>
      <c r="C122" s="84">
        <f t="shared" si="10"/>
        <v>0</v>
      </c>
      <c r="D122" s="88">
        <v>0</v>
      </c>
      <c r="E122" s="88">
        <v>0</v>
      </c>
      <c r="F122" s="88">
        <v>0</v>
      </c>
      <c r="G122" s="88">
        <v>0</v>
      </c>
      <c r="H122" s="88">
        <v>0</v>
      </c>
      <c r="I122" s="88">
        <v>0</v>
      </c>
      <c r="J122" s="88">
        <v>0</v>
      </c>
      <c r="K122" s="88">
        <v>0</v>
      </c>
      <c r="L122" s="88">
        <v>0</v>
      </c>
      <c r="M122" s="88">
        <v>0</v>
      </c>
    </row>
    <row r="123" spans="1:13">
      <c r="A123" s="87" t="s">
        <v>383</v>
      </c>
      <c r="B123" s="20" t="s">
        <v>385</v>
      </c>
      <c r="C123" s="84">
        <f t="shared" si="10"/>
        <v>0</v>
      </c>
      <c r="D123" s="88">
        <v>0</v>
      </c>
      <c r="E123" s="88">
        <v>0</v>
      </c>
      <c r="F123" s="88">
        <v>0</v>
      </c>
      <c r="G123" s="88">
        <v>0</v>
      </c>
      <c r="H123" s="88">
        <v>0</v>
      </c>
      <c r="I123" s="88">
        <v>0</v>
      </c>
      <c r="J123" s="88">
        <v>0</v>
      </c>
      <c r="K123" s="88">
        <v>0</v>
      </c>
      <c r="L123" s="88">
        <v>0</v>
      </c>
      <c r="M123" s="88">
        <v>0</v>
      </c>
    </row>
    <row r="124" spans="1:13" s="7" customFormat="1">
      <c r="A124" s="67"/>
      <c r="B124" s="89" t="s">
        <v>300</v>
      </c>
      <c r="C124" s="72">
        <f>+C111+C113+C115+C117+C119+C121</f>
        <v>2849320</v>
      </c>
      <c r="D124" s="386">
        <f t="shared" ref="D124:M124" si="17">+D111+D113+D115+D117+D119+D121</f>
        <v>929650</v>
      </c>
      <c r="E124" s="72">
        <f t="shared" si="17"/>
        <v>0</v>
      </c>
      <c r="F124" s="72">
        <f t="shared" si="17"/>
        <v>0</v>
      </c>
      <c r="G124" s="72">
        <f t="shared" si="17"/>
        <v>0</v>
      </c>
      <c r="H124" s="72">
        <f t="shared" si="17"/>
        <v>0</v>
      </c>
      <c r="I124" s="72">
        <f t="shared" si="17"/>
        <v>0</v>
      </c>
      <c r="J124" s="72">
        <f t="shared" si="17"/>
        <v>1704210</v>
      </c>
      <c r="K124" s="72">
        <f t="shared" si="17"/>
        <v>0</v>
      </c>
      <c r="L124" s="72">
        <f t="shared" si="17"/>
        <v>0</v>
      </c>
      <c r="M124" s="72">
        <f t="shared" si="17"/>
        <v>215460</v>
      </c>
    </row>
    <row r="125" spans="1:13">
      <c r="A125" s="67"/>
      <c r="B125" s="89" t="s">
        <v>393</v>
      </c>
      <c r="C125" s="72">
        <f t="shared" ref="C125:M125" si="18">+C28+C46+C66+C92+C107+C124</f>
        <v>154686120</v>
      </c>
      <c r="D125" s="386">
        <f t="shared" si="18"/>
        <v>7069370</v>
      </c>
      <c r="E125" s="72">
        <f t="shared" si="18"/>
        <v>5224610</v>
      </c>
      <c r="F125" s="72">
        <f t="shared" si="18"/>
        <v>14233040</v>
      </c>
      <c r="G125" s="72">
        <f t="shared" si="18"/>
        <v>20683570</v>
      </c>
      <c r="H125" s="72">
        <f t="shared" si="18"/>
        <v>22914200</v>
      </c>
      <c r="I125" s="72">
        <f t="shared" si="18"/>
        <v>6192430</v>
      </c>
      <c r="J125" s="72">
        <f t="shared" si="18"/>
        <v>12217610</v>
      </c>
      <c r="K125" s="72">
        <f t="shared" si="18"/>
        <v>41798380</v>
      </c>
      <c r="L125" s="72">
        <f t="shared" si="18"/>
        <v>15198360</v>
      </c>
      <c r="M125" s="72">
        <f t="shared" si="18"/>
        <v>9154550</v>
      </c>
    </row>
    <row r="128" spans="1:13">
      <c r="D128" s="308"/>
    </row>
  </sheetData>
  <mergeCells count="3">
    <mergeCell ref="B8:M8"/>
    <mergeCell ref="B9:M9"/>
    <mergeCell ref="B10:M10"/>
  </mergeCells>
  <printOptions horizontalCentered="1"/>
  <pageMargins left="0" right="0" top="0.41" bottom="0.35433070866141736" header="0.31496062992125984" footer="0.31496062992125984"/>
  <pageSetup paperSize="9" scale="65" orientation="landscape" r:id="rId1"/>
  <rowBreaks count="2" manualBreakCount="2">
    <brk id="46" max="16383" man="1"/>
    <brk id="92" max="16383" man="1"/>
  </rowBreaks>
  <drawing r:id="rId2"/>
</worksheet>
</file>

<file path=xl/worksheets/sheet12.xml><?xml version="1.0" encoding="utf-8"?>
<worksheet xmlns="http://schemas.openxmlformats.org/spreadsheetml/2006/main" xmlns:r="http://schemas.openxmlformats.org/officeDocument/2006/relationships">
  <dimension ref="A1:I28"/>
  <sheetViews>
    <sheetView workbookViewId="0">
      <selection activeCell="A9" sqref="A9:I9"/>
    </sheetView>
  </sheetViews>
  <sheetFormatPr baseColWidth="10" defaultRowHeight="15"/>
  <cols>
    <col min="1" max="1" width="32.5703125" customWidth="1"/>
    <col min="2" max="2" width="12" bestFit="1" customWidth="1"/>
    <col min="3" max="3" width="11" bestFit="1" customWidth="1"/>
    <col min="4" max="4" width="10" bestFit="1" customWidth="1"/>
    <col min="5" max="5" width="11" bestFit="1" customWidth="1"/>
    <col min="6" max="6" width="10.42578125" bestFit="1" customWidth="1"/>
    <col min="7" max="8" width="11" bestFit="1" customWidth="1"/>
    <col min="9" max="9" width="11.7109375" bestFit="1" customWidth="1"/>
  </cols>
  <sheetData>
    <row r="1" spans="1:9" s="1" customFormat="1" ht="15" customHeight="1">
      <c r="A1"/>
    </row>
    <row r="2" spans="1:9" s="1" customFormat="1" ht="15" customHeight="1"/>
    <row r="3" spans="1:9" s="1" customFormat="1" ht="15" customHeight="1"/>
    <row r="4" spans="1:9" s="1" customFormat="1" ht="15" customHeight="1"/>
    <row r="5" spans="1:9" s="1" customFormat="1" ht="15" customHeight="1" thickBot="1">
      <c r="A5" s="6"/>
      <c r="B5" s="6"/>
      <c r="C5" s="6"/>
      <c r="D5" s="6"/>
      <c r="E5" s="6"/>
      <c r="F5" s="6"/>
      <c r="G5" s="6"/>
      <c r="H5" s="6"/>
      <c r="I5" s="6"/>
    </row>
    <row r="6" spans="1:9" ht="7.5" customHeight="1" thickTop="1"/>
    <row r="7" spans="1:9" s="20" customFormat="1" ht="12.75">
      <c r="A7" s="20" t="s">
        <v>867</v>
      </c>
    </row>
    <row r="8" spans="1:9">
      <c r="A8" s="390" t="s">
        <v>747</v>
      </c>
      <c r="B8" s="390"/>
      <c r="C8" s="390"/>
      <c r="D8" s="390"/>
      <c r="E8" s="390"/>
      <c r="F8" s="390"/>
      <c r="G8" s="390"/>
      <c r="H8" s="390"/>
      <c r="I8" s="390"/>
    </row>
    <row r="9" spans="1:9">
      <c r="A9" s="390" t="s">
        <v>238</v>
      </c>
      <c r="B9" s="390"/>
      <c r="C9" s="390"/>
      <c r="D9" s="390"/>
      <c r="E9" s="390"/>
      <c r="F9" s="390"/>
      <c r="G9" s="390"/>
      <c r="H9" s="390"/>
      <c r="I9" s="390"/>
    </row>
    <row r="10" spans="1:9">
      <c r="A10" s="391" t="s">
        <v>407</v>
      </c>
      <c r="B10" s="391"/>
      <c r="C10" s="391"/>
      <c r="D10" s="391"/>
      <c r="E10" s="391"/>
      <c r="F10" s="391"/>
      <c r="G10" s="391"/>
      <c r="H10" s="391"/>
      <c r="I10" s="391"/>
    </row>
    <row r="11" spans="1:9" ht="7.5" customHeight="1"/>
    <row r="12" spans="1:9" s="9" customFormat="1" ht="12">
      <c r="A12" s="71" t="s">
        <v>3</v>
      </c>
      <c r="B12" s="71" t="s">
        <v>239</v>
      </c>
      <c r="C12" s="71" t="s">
        <v>394</v>
      </c>
      <c r="D12" s="71" t="s">
        <v>395</v>
      </c>
      <c r="E12" s="71" t="s">
        <v>396</v>
      </c>
      <c r="F12" s="71" t="s">
        <v>399</v>
      </c>
      <c r="G12" s="71" t="s">
        <v>400</v>
      </c>
      <c r="H12" s="71" t="s">
        <v>397</v>
      </c>
      <c r="I12" s="71" t="s">
        <v>398</v>
      </c>
    </row>
    <row r="13" spans="1:9">
      <c r="C13" s="80">
        <v>311</v>
      </c>
      <c r="D13" s="80">
        <v>321</v>
      </c>
      <c r="E13" s="80">
        <v>331</v>
      </c>
      <c r="F13" s="80">
        <v>341</v>
      </c>
      <c r="G13" s="80">
        <v>351</v>
      </c>
      <c r="H13" s="80">
        <v>361</v>
      </c>
      <c r="I13" s="80">
        <v>391</v>
      </c>
    </row>
    <row r="14" spans="1:9" s="7" customFormat="1">
      <c r="A14" s="67" t="s">
        <v>245</v>
      </c>
      <c r="B14" s="72">
        <f>SUM(B15:B19)</f>
        <v>56014490</v>
      </c>
      <c r="C14" s="75">
        <f t="shared" ref="C14:I14" si="0">SUM(C15:C19)</f>
        <v>4529890</v>
      </c>
      <c r="D14" s="75">
        <f t="shared" si="0"/>
        <v>2976250</v>
      </c>
      <c r="E14" s="75">
        <f t="shared" si="0"/>
        <v>13106510</v>
      </c>
      <c r="F14" s="75">
        <f t="shared" si="0"/>
        <v>3128940</v>
      </c>
      <c r="G14" s="75">
        <f t="shared" si="0"/>
        <v>13640860</v>
      </c>
      <c r="H14" s="75">
        <f t="shared" si="0"/>
        <v>18632040</v>
      </c>
      <c r="I14" s="75">
        <f t="shared" si="0"/>
        <v>0</v>
      </c>
    </row>
    <row r="15" spans="1:9">
      <c r="A15" t="s">
        <v>246</v>
      </c>
      <c r="B15" s="70">
        <f>SUM(C15:I15)</f>
        <v>27927650</v>
      </c>
      <c r="C15" s="76">
        <f>+'HAC A'!C16</f>
        <v>3087390</v>
      </c>
      <c r="D15" s="76">
        <f>+'HAC A'!D16</f>
        <v>2905730</v>
      </c>
      <c r="E15" s="76">
        <f>+'HAC A'!E16</f>
        <v>4291120</v>
      </c>
      <c r="F15" s="76">
        <f>+'HAC A'!F16</f>
        <v>2411490</v>
      </c>
      <c r="G15" s="76">
        <f>+'HAC A'!G16</f>
        <v>7345300</v>
      </c>
      <c r="H15" s="76">
        <f>+'HAC A'!H16</f>
        <v>7886620</v>
      </c>
      <c r="I15" s="76">
        <f>+'HAC A'!I16</f>
        <v>0</v>
      </c>
    </row>
    <row r="16" spans="1:9">
      <c r="A16" t="s">
        <v>247</v>
      </c>
      <c r="B16" s="70">
        <f>SUM(C16:I16)</f>
        <v>1406650</v>
      </c>
      <c r="C16" s="76">
        <f>+'HAC A'!C19</f>
        <v>58060</v>
      </c>
      <c r="D16" s="76">
        <f>+'HAC A'!D19</f>
        <v>38760</v>
      </c>
      <c r="E16" s="76">
        <f>+'HAC A'!E19</f>
        <v>197630</v>
      </c>
      <c r="F16" s="76">
        <f>+'HAC A'!F19</f>
        <v>15940</v>
      </c>
      <c r="G16" s="76">
        <f>+'HAC A'!G19</f>
        <v>190060</v>
      </c>
      <c r="H16" s="76">
        <f>+'HAC A'!H19</f>
        <v>906200</v>
      </c>
      <c r="I16" s="76">
        <f>+'HAC A'!I19</f>
        <v>0</v>
      </c>
    </row>
    <row r="17" spans="1:9">
      <c r="A17" t="s">
        <v>248</v>
      </c>
      <c r="B17" s="70">
        <f>SUM(C17:I17)</f>
        <v>25846540</v>
      </c>
      <c r="C17" s="76">
        <f>+'HAC A'!C20</f>
        <v>550790</v>
      </c>
      <c r="D17" s="76">
        <f>+'HAC A'!D20</f>
        <v>31760</v>
      </c>
      <c r="E17" s="76">
        <f>+'HAC A'!E20</f>
        <v>8617760</v>
      </c>
      <c r="F17" s="76">
        <f>+'HAC A'!F20</f>
        <v>701510</v>
      </c>
      <c r="G17" s="76">
        <f>+'HAC A'!G20</f>
        <v>6105500</v>
      </c>
      <c r="H17" s="76">
        <f>+'HAC A'!H20</f>
        <v>9839220</v>
      </c>
      <c r="I17" s="76">
        <f>+'HAC A'!I20</f>
        <v>0</v>
      </c>
    </row>
    <row r="18" spans="1:9">
      <c r="A18" t="s">
        <v>249</v>
      </c>
      <c r="B18" s="70">
        <f>SUM(C18:I18)</f>
        <v>833650</v>
      </c>
      <c r="C18" s="76">
        <f>+'HAC A'!C21</f>
        <v>833650</v>
      </c>
      <c r="D18" s="76">
        <f>+'HAC A'!D21</f>
        <v>0</v>
      </c>
      <c r="E18" s="76">
        <f>+'HAC A'!E21</f>
        <v>0</v>
      </c>
      <c r="F18" s="76">
        <f>+'HAC A'!F21</f>
        <v>0</v>
      </c>
      <c r="G18" s="76">
        <f>+'HAC A'!G21</f>
        <v>0</v>
      </c>
      <c r="H18" s="76">
        <f>+'HAC A'!H21</f>
        <v>0</v>
      </c>
      <c r="I18" s="76">
        <f>+'HAC A'!I21</f>
        <v>0</v>
      </c>
    </row>
    <row r="19" spans="1:9">
      <c r="A19" t="s">
        <v>250</v>
      </c>
      <c r="B19" s="70">
        <f>SUM(C19:I19)</f>
        <v>0</v>
      </c>
      <c r="C19" s="76">
        <f>+'HAC A'!C22</f>
        <v>0</v>
      </c>
      <c r="D19" s="76">
        <f>+'HAC A'!D22</f>
        <v>0</v>
      </c>
      <c r="E19" s="76">
        <f>+'HAC A'!E22</f>
        <v>0</v>
      </c>
      <c r="F19" s="76">
        <f>+'HAC A'!F22</f>
        <v>0</v>
      </c>
      <c r="G19" s="76">
        <f>+'HAC A'!G22</f>
        <v>0</v>
      </c>
      <c r="H19" s="76">
        <f>+'HAC A'!H22</f>
        <v>0</v>
      </c>
      <c r="I19" s="76">
        <f>+'HAC A'!I22</f>
        <v>0</v>
      </c>
    </row>
    <row r="20" spans="1:9" s="7" customFormat="1">
      <c r="A20" s="67" t="s">
        <v>251</v>
      </c>
      <c r="B20" s="74">
        <f>SUM(B21:B24)</f>
        <v>733030</v>
      </c>
      <c r="C20" s="72">
        <f t="shared" ref="C20:I20" si="1">SUM(C21:C24)</f>
        <v>0</v>
      </c>
      <c r="D20" s="72">
        <f t="shared" si="1"/>
        <v>41890</v>
      </c>
      <c r="E20" s="72">
        <f t="shared" si="1"/>
        <v>4380</v>
      </c>
      <c r="F20" s="72">
        <f t="shared" si="1"/>
        <v>4130</v>
      </c>
      <c r="G20" s="72">
        <f t="shared" si="1"/>
        <v>35910</v>
      </c>
      <c r="H20" s="72">
        <f t="shared" si="1"/>
        <v>646720</v>
      </c>
      <c r="I20" s="72">
        <f t="shared" si="1"/>
        <v>0</v>
      </c>
    </row>
    <row r="21" spans="1:9">
      <c r="A21" t="s">
        <v>252</v>
      </c>
      <c r="B21" s="70">
        <f>SUM(C21:I21)</f>
        <v>733030</v>
      </c>
      <c r="C21" s="76">
        <f>+'HAC A'!C25</f>
        <v>0</v>
      </c>
      <c r="D21" s="76">
        <f>+'HAC A'!D25</f>
        <v>41890</v>
      </c>
      <c r="E21" s="76">
        <f>+'HAC A'!E25</f>
        <v>4380</v>
      </c>
      <c r="F21" s="76">
        <f>+'HAC A'!F25</f>
        <v>4130</v>
      </c>
      <c r="G21" s="76">
        <f>+'HAC A'!G25</f>
        <v>35910</v>
      </c>
      <c r="H21" s="76">
        <f>+'HAC A'!H25</f>
        <v>646720</v>
      </c>
      <c r="I21" s="76">
        <f>+'HAC A'!I25</f>
        <v>0</v>
      </c>
    </row>
    <row r="22" spans="1:9">
      <c r="A22" t="s">
        <v>253</v>
      </c>
      <c r="B22" s="70">
        <f>SUM(C22:I22)</f>
        <v>0</v>
      </c>
      <c r="C22" s="76">
        <f>+'HAC A'!C26</f>
        <v>0</v>
      </c>
      <c r="D22" s="76">
        <f>+'HAC A'!D26</f>
        <v>0</v>
      </c>
      <c r="E22" s="76">
        <f>+'HAC A'!E26</f>
        <v>0</v>
      </c>
      <c r="F22" s="76">
        <f>+'HAC A'!F26</f>
        <v>0</v>
      </c>
      <c r="G22" s="76">
        <f>+'HAC A'!G26</f>
        <v>0</v>
      </c>
      <c r="H22" s="76">
        <f>+'HAC A'!H26</f>
        <v>0</v>
      </c>
      <c r="I22" s="76">
        <f>+'HAC A'!I26</f>
        <v>0</v>
      </c>
    </row>
    <row r="23" spans="1:9">
      <c r="A23" t="s">
        <v>254</v>
      </c>
      <c r="B23" s="70">
        <f>SUM(C23:I23)</f>
        <v>0</v>
      </c>
      <c r="C23" s="76">
        <f>+'HAC A'!C27</f>
        <v>0</v>
      </c>
      <c r="D23" s="76">
        <f>+'HAC A'!D27</f>
        <v>0</v>
      </c>
      <c r="E23" s="76">
        <f>+'HAC A'!E27</f>
        <v>0</v>
      </c>
      <c r="F23" s="76">
        <f>+'HAC A'!F27</f>
        <v>0</v>
      </c>
      <c r="G23" s="76">
        <f>+'HAC A'!G27</f>
        <v>0</v>
      </c>
      <c r="H23" s="76">
        <f>+'HAC A'!H27</f>
        <v>0</v>
      </c>
      <c r="I23" s="76">
        <f>+'HAC A'!I27</f>
        <v>0</v>
      </c>
    </row>
    <row r="24" spans="1:9">
      <c r="A24" t="s">
        <v>255</v>
      </c>
      <c r="B24" s="70">
        <f>SUM(C24:I24)</f>
        <v>0</v>
      </c>
      <c r="C24" s="76">
        <f>+'HAC A'!C28</f>
        <v>0</v>
      </c>
      <c r="D24" s="76">
        <f>+'HAC A'!D28</f>
        <v>0</v>
      </c>
      <c r="E24" s="76">
        <f>+'HAC A'!E28</f>
        <v>0</v>
      </c>
      <c r="F24" s="76">
        <f>+'HAC A'!F28</f>
        <v>0</v>
      </c>
      <c r="G24" s="76">
        <f>+'HAC A'!G28</f>
        <v>0</v>
      </c>
      <c r="H24" s="76">
        <f>+'HAC A'!H28</f>
        <v>0</v>
      </c>
      <c r="I24" s="76">
        <f>+'HAC A'!I28</f>
        <v>0</v>
      </c>
    </row>
    <row r="25" spans="1:9" s="7" customFormat="1">
      <c r="A25" s="67" t="s">
        <v>45</v>
      </c>
      <c r="B25" s="72">
        <f>+B26</f>
        <v>44552280</v>
      </c>
      <c r="C25" s="72">
        <f t="shared" ref="C25:I25" si="2">+C26</f>
        <v>44552280</v>
      </c>
      <c r="D25" s="72">
        <f t="shared" si="2"/>
        <v>0</v>
      </c>
      <c r="E25" s="72">
        <f t="shared" si="2"/>
        <v>0</v>
      </c>
      <c r="F25" s="72">
        <f t="shared" si="2"/>
        <v>0</v>
      </c>
      <c r="G25" s="72">
        <f t="shared" si="2"/>
        <v>0</v>
      </c>
      <c r="H25" s="72">
        <f t="shared" si="2"/>
        <v>0</v>
      </c>
      <c r="I25" s="72">
        <f t="shared" si="2"/>
        <v>0</v>
      </c>
    </row>
    <row r="26" spans="1:9">
      <c r="A26" t="s">
        <v>256</v>
      </c>
      <c r="B26" s="70">
        <f>SUM(C26:I26)</f>
        <v>44552280</v>
      </c>
      <c r="C26" s="76">
        <f>+'HAC A'!C29</f>
        <v>44552280</v>
      </c>
      <c r="D26" s="76">
        <f>+'HAC A'!D29</f>
        <v>0</v>
      </c>
      <c r="E26" s="76">
        <f>+'HAC A'!E29</f>
        <v>0</v>
      </c>
      <c r="F26" s="76">
        <f>+'HAC A'!F29</f>
        <v>0</v>
      </c>
      <c r="G26" s="76">
        <f>+'HAC A'!G29</f>
        <v>0</v>
      </c>
      <c r="H26" s="76">
        <f>+'HAC A'!H29</f>
        <v>0</v>
      </c>
      <c r="I26" s="76">
        <f>+'HAC A'!I29</f>
        <v>0</v>
      </c>
    </row>
    <row r="27" spans="1:9" s="7" customFormat="1">
      <c r="A27" s="69" t="s">
        <v>48</v>
      </c>
      <c r="B27" s="72">
        <f>+B14+B20+B25</f>
        <v>101299800</v>
      </c>
      <c r="C27" s="72">
        <f t="shared" ref="C27:I27" si="3">+C14+C20+C25</f>
        <v>49082170</v>
      </c>
      <c r="D27" s="72">
        <f t="shared" si="3"/>
        <v>3018140</v>
      </c>
      <c r="E27" s="72">
        <f t="shared" si="3"/>
        <v>13110890</v>
      </c>
      <c r="F27" s="72">
        <f t="shared" si="3"/>
        <v>3133070</v>
      </c>
      <c r="G27" s="72">
        <f t="shared" si="3"/>
        <v>13676770</v>
      </c>
      <c r="H27" s="72">
        <f t="shared" si="3"/>
        <v>19278760</v>
      </c>
      <c r="I27" s="72">
        <f t="shared" si="3"/>
        <v>0</v>
      </c>
    </row>
    <row r="28" spans="1:9">
      <c r="C28" s="385"/>
      <c r="D28" s="385"/>
      <c r="E28" s="385"/>
      <c r="F28" s="385"/>
      <c r="G28" s="385"/>
      <c r="H28" s="385"/>
    </row>
  </sheetData>
  <mergeCells count="3">
    <mergeCell ref="A8:I8"/>
    <mergeCell ref="A9:I9"/>
    <mergeCell ref="A10:I10"/>
  </mergeCells>
  <printOptions horizontalCentered="1"/>
  <pageMargins left="0" right="0" top="0.55000000000000004"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dimension ref="A1:I31"/>
  <sheetViews>
    <sheetView workbookViewId="0">
      <selection activeCell="A28" sqref="A28"/>
    </sheetView>
  </sheetViews>
  <sheetFormatPr baseColWidth="10" defaultRowHeight="15"/>
  <cols>
    <col min="1" max="1" width="32.5703125" customWidth="1"/>
    <col min="2" max="2" width="12" bestFit="1" customWidth="1"/>
    <col min="3" max="3" width="11" bestFit="1" customWidth="1"/>
    <col min="4" max="4" width="10.5703125" bestFit="1" customWidth="1"/>
    <col min="5" max="5" width="11.5703125" bestFit="1" customWidth="1"/>
    <col min="6" max="6" width="10.5703125" bestFit="1" customWidth="1"/>
    <col min="7" max="8" width="11.5703125" bestFit="1" customWidth="1"/>
    <col min="9" max="9" width="11.7109375" bestFit="1" customWidth="1"/>
  </cols>
  <sheetData>
    <row r="1" spans="1:9" s="1" customFormat="1" ht="15" customHeight="1">
      <c r="A1"/>
    </row>
    <row r="2" spans="1:9" s="1" customFormat="1" ht="15" customHeight="1"/>
    <row r="3" spans="1:9" s="1" customFormat="1" ht="15" customHeight="1"/>
    <row r="4" spans="1:9" s="1" customFormat="1" ht="15" customHeight="1"/>
    <row r="5" spans="1:9" s="1" customFormat="1" ht="15" customHeight="1" thickBot="1">
      <c r="A5" s="6"/>
      <c r="B5" s="6"/>
      <c r="C5" s="6"/>
      <c r="D5" s="6"/>
      <c r="E5" s="6"/>
      <c r="F5" s="6"/>
      <c r="G5" s="6"/>
      <c r="H5" s="6"/>
      <c r="I5" s="6"/>
    </row>
    <row r="6" spans="1:9" ht="7.5" customHeight="1" thickTop="1"/>
    <row r="7" spans="1:9" s="20" customFormat="1" ht="12.75">
      <c r="A7" s="20" t="s">
        <v>867</v>
      </c>
    </row>
    <row r="8" spans="1:9">
      <c r="A8" s="390" t="s">
        <v>747</v>
      </c>
      <c r="B8" s="390"/>
      <c r="C8" s="390"/>
      <c r="D8" s="390"/>
      <c r="E8" s="390"/>
      <c r="F8" s="390"/>
      <c r="G8" s="390"/>
      <c r="H8" s="390"/>
      <c r="I8" s="390"/>
    </row>
    <row r="9" spans="1:9">
      <c r="A9" s="390" t="s">
        <v>238</v>
      </c>
      <c r="B9" s="390"/>
      <c r="C9" s="390"/>
      <c r="D9" s="390"/>
      <c r="E9" s="390"/>
      <c r="F9" s="390"/>
      <c r="G9" s="390"/>
      <c r="H9" s="390"/>
      <c r="I9" s="390"/>
    </row>
    <row r="10" spans="1:9">
      <c r="A10" s="391" t="s">
        <v>407</v>
      </c>
      <c r="B10" s="391"/>
      <c r="C10" s="391"/>
      <c r="D10" s="391"/>
      <c r="E10" s="391"/>
      <c r="F10" s="391"/>
      <c r="G10" s="391"/>
      <c r="H10" s="391"/>
      <c r="I10" s="391"/>
    </row>
    <row r="11" spans="1:9" ht="7.5" customHeight="1"/>
    <row r="12" spans="1:9" s="9" customFormat="1" ht="12">
      <c r="A12" s="71" t="s">
        <v>3</v>
      </c>
      <c r="B12" s="71" t="s">
        <v>239</v>
      </c>
      <c r="C12" s="71" t="s">
        <v>394</v>
      </c>
      <c r="D12" s="71" t="s">
        <v>395</v>
      </c>
      <c r="E12" s="71" t="s">
        <v>396</v>
      </c>
      <c r="F12" s="71" t="s">
        <v>399</v>
      </c>
      <c r="G12" s="71" t="s">
        <v>400</v>
      </c>
      <c r="H12" s="71" t="s">
        <v>397</v>
      </c>
      <c r="I12" s="71" t="s">
        <v>398</v>
      </c>
    </row>
    <row r="13" spans="1:9">
      <c r="C13" s="80">
        <v>311</v>
      </c>
      <c r="D13" s="80">
        <v>321</v>
      </c>
      <c r="E13" s="80">
        <v>331</v>
      </c>
      <c r="F13" s="80">
        <v>341</v>
      </c>
      <c r="G13" s="80">
        <v>351</v>
      </c>
      <c r="H13" s="80">
        <v>361</v>
      </c>
      <c r="I13" s="80">
        <v>391</v>
      </c>
    </row>
    <row r="14" spans="1:9" s="7" customFormat="1">
      <c r="A14" s="67" t="s">
        <v>245</v>
      </c>
      <c r="B14" s="72">
        <f>+B15+B21+B22</f>
        <v>56014490</v>
      </c>
      <c r="C14" s="72">
        <f>+C15+C21+C22</f>
        <v>4529890</v>
      </c>
      <c r="D14" s="72">
        <f t="shared" ref="D14:I14" si="0">+D15+D21+D22</f>
        <v>2976250</v>
      </c>
      <c r="E14" s="72">
        <f t="shared" si="0"/>
        <v>13106510</v>
      </c>
      <c r="F14" s="72">
        <f t="shared" si="0"/>
        <v>3128940</v>
      </c>
      <c r="G14" s="72">
        <f t="shared" si="0"/>
        <v>13640860</v>
      </c>
      <c r="H14" s="72">
        <f t="shared" si="0"/>
        <v>18632040</v>
      </c>
      <c r="I14" s="72">
        <f t="shared" si="0"/>
        <v>0</v>
      </c>
    </row>
    <row r="15" spans="1:9" s="83" customFormat="1">
      <c r="A15" s="10" t="s">
        <v>281</v>
      </c>
      <c r="B15" s="81">
        <f>+B16+B19+B20</f>
        <v>55180840</v>
      </c>
      <c r="C15" s="82">
        <f>+C16+C19+C20</f>
        <v>3696240</v>
      </c>
      <c r="D15" s="82">
        <f t="shared" ref="D15:I15" si="1">+D16+D19+D20</f>
        <v>2976250</v>
      </c>
      <c r="E15" s="82">
        <f t="shared" si="1"/>
        <v>13106510</v>
      </c>
      <c r="F15" s="82">
        <f t="shared" si="1"/>
        <v>3128940</v>
      </c>
      <c r="G15" s="82">
        <f t="shared" si="1"/>
        <v>13640860</v>
      </c>
      <c r="H15" s="82">
        <f t="shared" si="1"/>
        <v>18632040</v>
      </c>
      <c r="I15" s="82">
        <f t="shared" si="1"/>
        <v>0</v>
      </c>
    </row>
    <row r="16" spans="1:9">
      <c r="A16" s="7" t="s">
        <v>246</v>
      </c>
      <c r="B16" s="70">
        <f>+B17+B18</f>
        <v>27927650</v>
      </c>
      <c r="C16" s="76">
        <f>+C17+C18</f>
        <v>3087390</v>
      </c>
      <c r="D16" s="76">
        <f t="shared" ref="D16:I16" si="2">+D17+D18</f>
        <v>2905730</v>
      </c>
      <c r="E16" s="76">
        <f t="shared" si="2"/>
        <v>4291120</v>
      </c>
      <c r="F16" s="76">
        <f t="shared" si="2"/>
        <v>2411490</v>
      </c>
      <c r="G16" s="76">
        <f t="shared" si="2"/>
        <v>7345300</v>
      </c>
      <c r="H16" s="76">
        <f t="shared" si="2"/>
        <v>7886620</v>
      </c>
      <c r="I16" s="76">
        <f t="shared" si="2"/>
        <v>0</v>
      </c>
    </row>
    <row r="17" spans="1:9" s="20" customFormat="1" ht="12.75">
      <c r="A17" s="20" t="s">
        <v>279</v>
      </c>
      <c r="B17" s="84">
        <f t="shared" ref="B17:B22" si="3">SUM(C17:I17)</f>
        <v>26814750</v>
      </c>
      <c r="C17" s="85">
        <f>+'HAC B'!D28</f>
        <v>3087390</v>
      </c>
      <c r="D17" s="85">
        <f>+'HAC B'!E28</f>
        <v>2905730</v>
      </c>
      <c r="E17" s="85">
        <f>+'HAC B'!F28</f>
        <v>4066170</v>
      </c>
      <c r="F17" s="85">
        <f>+'HAC B'!G28</f>
        <v>2306070</v>
      </c>
      <c r="G17" s="85">
        <f>+'HAC B'!H28</f>
        <v>6897430</v>
      </c>
      <c r="H17" s="85">
        <f>+'HAC B'!I28</f>
        <v>7551960</v>
      </c>
      <c r="I17" s="85">
        <f>+'HAC B'!J28</f>
        <v>0</v>
      </c>
    </row>
    <row r="18" spans="1:9" s="20" customFormat="1" ht="12.75">
      <c r="A18" s="20" t="s">
        <v>280</v>
      </c>
      <c r="B18" s="84">
        <f t="shared" si="3"/>
        <v>1112900</v>
      </c>
      <c r="C18" s="85">
        <f>+'HAC B'!D46</f>
        <v>0</v>
      </c>
      <c r="D18" s="85">
        <f>+'HAC B'!E46</f>
        <v>0</v>
      </c>
      <c r="E18" s="85">
        <f>+'HAC B'!F46</f>
        <v>224950</v>
      </c>
      <c r="F18" s="85">
        <f>+'HAC B'!G46</f>
        <v>105420</v>
      </c>
      <c r="G18" s="85">
        <f>+'HAC B'!H46</f>
        <v>447870</v>
      </c>
      <c r="H18" s="85">
        <f>+'HAC B'!I46</f>
        <v>334660</v>
      </c>
      <c r="I18" s="85">
        <f>+'HAC B'!J46</f>
        <v>0</v>
      </c>
    </row>
    <row r="19" spans="1:9">
      <c r="A19" s="7" t="s">
        <v>247</v>
      </c>
      <c r="B19" s="70">
        <f t="shared" si="3"/>
        <v>1406650</v>
      </c>
      <c r="C19" s="76">
        <f>+'HAC B'!D66</f>
        <v>58060</v>
      </c>
      <c r="D19" s="88">
        <f>+'HAC B'!E66</f>
        <v>38760</v>
      </c>
      <c r="E19" s="88">
        <f>+'HAC B'!F66</f>
        <v>197630</v>
      </c>
      <c r="F19" s="88">
        <f>+'HAC B'!G66</f>
        <v>15940</v>
      </c>
      <c r="G19" s="88">
        <f>+'HAC B'!H66</f>
        <v>190060</v>
      </c>
      <c r="H19" s="88">
        <f>+'HAC B'!I66</f>
        <v>906200</v>
      </c>
      <c r="I19" s="88">
        <f>+'HAC B'!J66</f>
        <v>0</v>
      </c>
    </row>
    <row r="20" spans="1:9">
      <c r="A20" s="7" t="s">
        <v>248</v>
      </c>
      <c r="B20" s="70">
        <f t="shared" si="3"/>
        <v>25846540</v>
      </c>
      <c r="C20" s="76">
        <f>+'HAC B'!D92</f>
        <v>550790</v>
      </c>
      <c r="D20" s="88">
        <f>+'HAC B'!E92</f>
        <v>31760</v>
      </c>
      <c r="E20" s="88">
        <f>+'HAC B'!F92</f>
        <v>8617760</v>
      </c>
      <c r="F20" s="88">
        <f>+'HAC B'!G92</f>
        <v>701510</v>
      </c>
      <c r="G20" s="88">
        <f>+'HAC B'!H92</f>
        <v>6105500</v>
      </c>
      <c r="H20" s="88">
        <f>+'HAC B'!I92</f>
        <v>9839220</v>
      </c>
      <c r="I20" s="88">
        <f>+'HAC B'!J92</f>
        <v>0</v>
      </c>
    </row>
    <row r="21" spans="1:9">
      <c r="A21" s="7" t="s">
        <v>249</v>
      </c>
      <c r="B21" s="70">
        <f t="shared" si="3"/>
        <v>833650</v>
      </c>
      <c r="C21" s="76">
        <f>+'HAC B'!D111</f>
        <v>833650</v>
      </c>
      <c r="D21" s="76">
        <f>+'HAC B'!E111</f>
        <v>0</v>
      </c>
      <c r="E21" s="76">
        <f>+'HAC B'!F111</f>
        <v>0</v>
      </c>
      <c r="F21" s="76">
        <f>+'HAC B'!G111</f>
        <v>0</v>
      </c>
      <c r="G21" s="76">
        <f>+'HAC B'!H111</f>
        <v>0</v>
      </c>
      <c r="H21" s="76">
        <f>+'HAC B'!I111</f>
        <v>0</v>
      </c>
      <c r="I21" s="76">
        <f>+'HAC B'!J111</f>
        <v>0</v>
      </c>
    </row>
    <row r="22" spans="1:9">
      <c r="A22" s="7" t="s">
        <v>250</v>
      </c>
      <c r="B22" s="70">
        <f t="shared" si="3"/>
        <v>0</v>
      </c>
      <c r="C22" s="76">
        <f>+'HAC B'!D113</f>
        <v>0</v>
      </c>
      <c r="D22" s="76">
        <f>+'HAC B'!E113</f>
        <v>0</v>
      </c>
      <c r="E22" s="76">
        <f>+'HAC B'!F113</f>
        <v>0</v>
      </c>
      <c r="F22" s="76">
        <f>+'HAC B'!G113</f>
        <v>0</v>
      </c>
      <c r="G22" s="76">
        <f>+'HAC B'!H113</f>
        <v>0</v>
      </c>
      <c r="H22" s="76">
        <f>+'HAC B'!I113</f>
        <v>0</v>
      </c>
      <c r="I22" s="76">
        <f>+'HAC B'!J113</f>
        <v>0</v>
      </c>
    </row>
    <row r="23" spans="1:9" s="7" customFormat="1">
      <c r="A23" s="67" t="s">
        <v>251</v>
      </c>
      <c r="B23" s="72">
        <f>+B24+B27+B28</f>
        <v>733030</v>
      </c>
      <c r="C23" s="72">
        <f>+C24+C27+C28</f>
        <v>0</v>
      </c>
      <c r="D23" s="72">
        <f t="shared" ref="D23:I23" si="4">+D24+D27+D28</f>
        <v>41890</v>
      </c>
      <c r="E23" s="72">
        <f t="shared" si="4"/>
        <v>4380</v>
      </c>
      <c r="F23" s="72">
        <f t="shared" si="4"/>
        <v>4130</v>
      </c>
      <c r="G23" s="72">
        <f t="shared" si="4"/>
        <v>35910</v>
      </c>
      <c r="H23" s="72">
        <f t="shared" si="4"/>
        <v>646720</v>
      </c>
      <c r="I23" s="72">
        <f t="shared" si="4"/>
        <v>0</v>
      </c>
    </row>
    <row r="24" spans="1:9" s="10" customFormat="1">
      <c r="A24" s="10" t="s">
        <v>282</v>
      </c>
      <c r="B24" s="70">
        <f>+B25+B26</f>
        <v>733030</v>
      </c>
      <c r="C24" s="82">
        <f>+C25+C26</f>
        <v>0</v>
      </c>
      <c r="D24" s="82">
        <f t="shared" ref="D24:I24" si="5">+D25+D26</f>
        <v>41890</v>
      </c>
      <c r="E24" s="82">
        <f t="shared" si="5"/>
        <v>4380</v>
      </c>
      <c r="F24" s="82">
        <f t="shared" si="5"/>
        <v>4130</v>
      </c>
      <c r="G24" s="82">
        <f t="shared" si="5"/>
        <v>35910</v>
      </c>
      <c r="H24" s="82">
        <f t="shared" si="5"/>
        <v>646720</v>
      </c>
      <c r="I24" s="82">
        <f t="shared" si="5"/>
        <v>0</v>
      </c>
    </row>
    <row r="25" spans="1:9">
      <c r="A25" s="7" t="s">
        <v>252</v>
      </c>
      <c r="B25" s="70">
        <f>SUM(C25:I25)</f>
        <v>733030</v>
      </c>
      <c r="C25" s="76">
        <f>+'HAC B'!D107</f>
        <v>0</v>
      </c>
      <c r="D25" s="88">
        <f>+'HAC B'!E107</f>
        <v>41890</v>
      </c>
      <c r="E25" s="88">
        <f>+'HAC B'!F107</f>
        <v>4380</v>
      </c>
      <c r="F25" s="88">
        <f>+'HAC B'!G107</f>
        <v>4130</v>
      </c>
      <c r="G25" s="88">
        <f>+'HAC B'!H107</f>
        <v>35910</v>
      </c>
      <c r="H25" s="88">
        <f>+'HAC B'!I107</f>
        <v>646720</v>
      </c>
      <c r="I25" s="88">
        <f>+'HAC B'!J107</f>
        <v>0</v>
      </c>
    </row>
    <row r="26" spans="1:9">
      <c r="A26" s="7" t="s">
        <v>253</v>
      </c>
      <c r="B26" s="70">
        <f>SUM(C26:I26)</f>
        <v>0</v>
      </c>
      <c r="C26" s="76">
        <f>+'HAC B'!D115</f>
        <v>0</v>
      </c>
      <c r="D26" s="76">
        <f>+'HAC B'!E115</f>
        <v>0</v>
      </c>
      <c r="E26" s="76">
        <f>+'HAC B'!F115</f>
        <v>0</v>
      </c>
      <c r="F26" s="76">
        <f>+'HAC B'!G115</f>
        <v>0</v>
      </c>
      <c r="G26" s="76">
        <f>+'HAC B'!H115</f>
        <v>0</v>
      </c>
      <c r="H26" s="76">
        <f>+'HAC B'!I115</f>
        <v>0</v>
      </c>
      <c r="I26" s="76">
        <f>+'HAC B'!J115</f>
        <v>0</v>
      </c>
    </row>
    <row r="27" spans="1:9">
      <c r="A27" s="7" t="s">
        <v>254</v>
      </c>
      <c r="B27" s="70">
        <f>SUM(C27:I27)</f>
        <v>0</v>
      </c>
      <c r="C27" s="76">
        <f>+'HAC B'!D117</f>
        <v>0</v>
      </c>
      <c r="D27" s="76">
        <f>+'HAC B'!E117</f>
        <v>0</v>
      </c>
      <c r="E27" s="76">
        <f>+'HAC B'!F117</f>
        <v>0</v>
      </c>
      <c r="F27" s="76">
        <f>+'HAC B'!G117</f>
        <v>0</v>
      </c>
      <c r="G27" s="76">
        <f>+'HAC B'!H117</f>
        <v>0</v>
      </c>
      <c r="H27" s="76">
        <f>+'HAC B'!I117</f>
        <v>0</v>
      </c>
      <c r="I27" s="76">
        <f>+'HAC B'!J117</f>
        <v>0</v>
      </c>
    </row>
    <row r="28" spans="1:9">
      <c r="A28" s="7" t="s">
        <v>255</v>
      </c>
      <c r="B28" s="70">
        <f>SUM(C28:I28)</f>
        <v>0</v>
      </c>
      <c r="C28" s="76">
        <f>+'HAC B'!D119</f>
        <v>0</v>
      </c>
      <c r="D28" s="76">
        <f>+'HAC B'!E119</f>
        <v>0</v>
      </c>
      <c r="E28" s="76">
        <f>+'HAC B'!F119</f>
        <v>0</v>
      </c>
      <c r="F28" s="76">
        <f>+'HAC B'!G119</f>
        <v>0</v>
      </c>
      <c r="G28" s="76">
        <f>+'HAC B'!H119</f>
        <v>0</v>
      </c>
      <c r="H28" s="76">
        <f>+'HAC B'!I119</f>
        <v>0</v>
      </c>
      <c r="I28" s="76">
        <f>+'HAC B'!J119</f>
        <v>0</v>
      </c>
    </row>
    <row r="29" spans="1:9" s="7" customFormat="1">
      <c r="A29" s="67" t="s">
        <v>45</v>
      </c>
      <c r="B29" s="72">
        <f>+B30</f>
        <v>44552280</v>
      </c>
      <c r="C29" s="72">
        <f t="shared" ref="C29:I29" si="6">+C30</f>
        <v>44552280</v>
      </c>
      <c r="D29" s="72">
        <f t="shared" si="6"/>
        <v>0</v>
      </c>
      <c r="E29" s="72">
        <f t="shared" si="6"/>
        <v>0</v>
      </c>
      <c r="F29" s="72">
        <f t="shared" si="6"/>
        <v>0</v>
      </c>
      <c r="G29" s="72">
        <f t="shared" si="6"/>
        <v>0</v>
      </c>
      <c r="H29" s="72">
        <f t="shared" si="6"/>
        <v>0</v>
      </c>
      <c r="I29" s="72">
        <f t="shared" si="6"/>
        <v>0</v>
      </c>
    </row>
    <row r="30" spans="1:9">
      <c r="A30" t="s">
        <v>256</v>
      </c>
      <c r="B30" s="70">
        <f>SUM(C30:I30)</f>
        <v>44552280</v>
      </c>
      <c r="C30" s="76">
        <f>+'HAC B'!D121</f>
        <v>44552280</v>
      </c>
      <c r="D30" s="76">
        <f>+'HAC B'!E121</f>
        <v>0</v>
      </c>
      <c r="E30" s="76">
        <f>+'HAC B'!F121</f>
        <v>0</v>
      </c>
      <c r="F30" s="76">
        <f>+'HAC B'!G121</f>
        <v>0</v>
      </c>
      <c r="G30" s="76">
        <f>+'HAC B'!H121</f>
        <v>0</v>
      </c>
      <c r="H30" s="76">
        <f>+'HAC B'!I121</f>
        <v>0</v>
      </c>
      <c r="I30" s="76">
        <f>+'HAC B'!J121</f>
        <v>0</v>
      </c>
    </row>
    <row r="31" spans="1:9" s="7" customFormat="1">
      <c r="A31" s="69" t="s">
        <v>48</v>
      </c>
      <c r="B31" s="72">
        <f t="shared" ref="B31:I31" si="7">+B14+B23+B29</f>
        <v>101299800</v>
      </c>
      <c r="C31" s="72">
        <f t="shared" si="7"/>
        <v>49082170</v>
      </c>
      <c r="D31" s="72">
        <f t="shared" si="7"/>
        <v>3018140</v>
      </c>
      <c r="E31" s="72">
        <f t="shared" si="7"/>
        <v>13110890</v>
      </c>
      <c r="F31" s="72">
        <f t="shared" si="7"/>
        <v>3133070</v>
      </c>
      <c r="G31" s="72">
        <f t="shared" si="7"/>
        <v>13676770</v>
      </c>
      <c r="H31" s="72">
        <f t="shared" si="7"/>
        <v>19278760</v>
      </c>
      <c r="I31" s="72">
        <f t="shared" si="7"/>
        <v>0</v>
      </c>
    </row>
  </sheetData>
  <mergeCells count="3">
    <mergeCell ref="A8:I8"/>
    <mergeCell ref="A9:I9"/>
    <mergeCell ref="A10:I10"/>
  </mergeCells>
  <printOptions horizontalCentered="1"/>
  <pageMargins left="0" right="0" top="0.57999999999999996"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dimension ref="A1:O125"/>
  <sheetViews>
    <sheetView workbookViewId="0">
      <selection activeCell="B7" sqref="B7"/>
    </sheetView>
  </sheetViews>
  <sheetFormatPr baseColWidth="10" defaultRowHeight="15"/>
  <cols>
    <col min="1" max="1" width="6.85546875" bestFit="1" customWidth="1"/>
    <col min="2" max="2" width="37.140625" bestFit="1" customWidth="1"/>
    <col min="3" max="3" width="12" bestFit="1" customWidth="1"/>
    <col min="4" max="4" width="11" bestFit="1" customWidth="1"/>
    <col min="5" max="5" width="10" bestFit="1" customWidth="1"/>
    <col min="6" max="6" width="11" bestFit="1" customWidth="1"/>
    <col min="7" max="7" width="10.42578125" bestFit="1" customWidth="1"/>
    <col min="8" max="9" width="11" bestFit="1" customWidth="1"/>
    <col min="10" max="10" width="11.7109375" bestFit="1" customWidth="1"/>
    <col min="15" max="15" width="11.5703125" bestFit="1" customWidth="1"/>
  </cols>
  <sheetData>
    <row r="1" spans="1:10" s="1" customFormat="1" ht="15" customHeight="1">
      <c r="B1"/>
    </row>
    <row r="2" spans="1:10" s="1" customFormat="1" ht="15" customHeight="1"/>
    <row r="3" spans="1:10" s="1" customFormat="1" ht="15" customHeight="1"/>
    <row r="4" spans="1:10" s="1" customFormat="1" ht="15" customHeight="1"/>
    <row r="5" spans="1:10" s="1" customFormat="1" ht="15" customHeight="1" thickBot="1">
      <c r="A5" s="6"/>
      <c r="B5" s="6"/>
      <c r="C5" s="6"/>
      <c r="D5" s="6"/>
      <c r="E5" s="6"/>
      <c r="F5" s="6"/>
      <c r="G5" s="6"/>
      <c r="H5" s="6"/>
      <c r="I5" s="6"/>
      <c r="J5" s="6"/>
    </row>
    <row r="6" spans="1:10" ht="7.5" customHeight="1" thickTop="1"/>
    <row r="7" spans="1:10" s="20" customFormat="1" ht="12.75">
      <c r="B7" s="20" t="s">
        <v>867</v>
      </c>
    </row>
    <row r="8" spans="1:10">
      <c r="A8" s="390" t="s">
        <v>747</v>
      </c>
      <c r="B8" s="390"/>
      <c r="C8" s="390"/>
      <c r="D8" s="390"/>
      <c r="E8" s="390"/>
      <c r="F8" s="390"/>
      <c r="G8" s="390"/>
      <c r="H8" s="390"/>
      <c r="I8" s="390"/>
      <c r="J8" s="390"/>
    </row>
    <row r="9" spans="1:10">
      <c r="A9" s="390" t="s">
        <v>238</v>
      </c>
      <c r="B9" s="390"/>
      <c r="C9" s="390"/>
      <c r="D9" s="390"/>
      <c r="E9" s="390"/>
      <c r="F9" s="390"/>
      <c r="G9" s="390"/>
      <c r="H9" s="390"/>
      <c r="I9" s="390"/>
      <c r="J9" s="390"/>
    </row>
    <row r="10" spans="1:10">
      <c r="A10" s="391" t="s">
        <v>407</v>
      </c>
      <c r="B10" s="391"/>
      <c r="C10" s="391"/>
      <c r="D10" s="391"/>
      <c r="E10" s="391"/>
      <c r="F10" s="391"/>
      <c r="G10" s="391"/>
      <c r="H10" s="391"/>
      <c r="I10" s="391"/>
      <c r="J10" s="391"/>
    </row>
    <row r="11" spans="1:10" ht="7.5" customHeight="1"/>
    <row r="12" spans="1:10" s="9" customFormat="1" ht="12">
      <c r="A12" s="71" t="s">
        <v>69</v>
      </c>
      <c r="B12" s="71" t="s">
        <v>284</v>
      </c>
      <c r="C12" s="71" t="s">
        <v>239</v>
      </c>
      <c r="D12" s="71" t="s">
        <v>394</v>
      </c>
      <c r="E12" s="71" t="s">
        <v>395</v>
      </c>
      <c r="F12" s="71" t="s">
        <v>396</v>
      </c>
      <c r="G12" s="71" t="s">
        <v>399</v>
      </c>
      <c r="H12" s="71" t="s">
        <v>400</v>
      </c>
      <c r="I12" s="71" t="s">
        <v>397</v>
      </c>
      <c r="J12" s="71" t="s">
        <v>398</v>
      </c>
    </row>
    <row r="13" spans="1:10">
      <c r="C13" s="80"/>
      <c r="D13" s="80">
        <v>311</v>
      </c>
      <c r="E13" s="80">
        <v>321</v>
      </c>
      <c r="F13" s="80">
        <v>331</v>
      </c>
      <c r="G13" s="80">
        <v>341</v>
      </c>
      <c r="H13" s="80">
        <v>351</v>
      </c>
      <c r="I13" s="80">
        <v>361</v>
      </c>
      <c r="J13" s="80">
        <v>391</v>
      </c>
    </row>
    <row r="14" spans="1:10" s="83" customFormat="1">
      <c r="A14" s="87" t="s">
        <v>74</v>
      </c>
      <c r="B14" s="20" t="s">
        <v>286</v>
      </c>
      <c r="C14" s="92">
        <f>SUM(D14:J14)</f>
        <v>7007620</v>
      </c>
      <c r="D14" s="88">
        <v>1067830</v>
      </c>
      <c r="E14" s="88">
        <v>634970</v>
      </c>
      <c r="F14" s="88">
        <v>997090</v>
      </c>
      <c r="G14" s="88">
        <v>529510</v>
      </c>
      <c r="H14" s="88">
        <v>1435550</v>
      </c>
      <c r="I14" s="88">
        <v>2342670</v>
      </c>
      <c r="J14" s="88">
        <v>0</v>
      </c>
    </row>
    <row r="15" spans="1:10">
      <c r="A15" s="87" t="s">
        <v>76</v>
      </c>
      <c r="B15" s="20" t="s">
        <v>287</v>
      </c>
      <c r="C15" s="92">
        <f t="shared" ref="C15:C27" si="0">SUM(D15:J15)</f>
        <v>2190000</v>
      </c>
      <c r="D15" s="88">
        <v>383850</v>
      </c>
      <c r="E15" s="88">
        <v>261170</v>
      </c>
      <c r="F15" s="88">
        <v>226960</v>
      </c>
      <c r="G15" s="88">
        <v>98650</v>
      </c>
      <c r="H15" s="88">
        <v>844190</v>
      </c>
      <c r="I15" s="88">
        <v>375180</v>
      </c>
      <c r="J15" s="88">
        <v>0</v>
      </c>
    </row>
    <row r="16" spans="1:10" s="20" customFormat="1">
      <c r="A16" s="87" t="s">
        <v>77</v>
      </c>
      <c r="B16" s="20" t="s">
        <v>288</v>
      </c>
      <c r="C16" s="92">
        <f t="shared" si="0"/>
        <v>0</v>
      </c>
      <c r="D16" s="88">
        <v>0</v>
      </c>
      <c r="E16" s="88">
        <v>0</v>
      </c>
      <c r="F16" s="88">
        <v>0</v>
      </c>
      <c r="G16" s="88">
        <v>0</v>
      </c>
      <c r="H16" s="88">
        <v>0</v>
      </c>
      <c r="I16" s="88">
        <v>0</v>
      </c>
      <c r="J16" s="88">
        <v>0</v>
      </c>
    </row>
    <row r="17" spans="1:10" s="20" customFormat="1">
      <c r="A17" s="87" t="s">
        <v>78</v>
      </c>
      <c r="B17" s="20" t="s">
        <v>289</v>
      </c>
      <c r="C17" s="92">
        <f t="shared" si="0"/>
        <v>2994830</v>
      </c>
      <c r="D17" s="88">
        <v>322160</v>
      </c>
      <c r="E17" s="88">
        <v>216730</v>
      </c>
      <c r="F17" s="88">
        <v>306240</v>
      </c>
      <c r="G17" s="88">
        <v>207300</v>
      </c>
      <c r="H17" s="88">
        <v>874320</v>
      </c>
      <c r="I17" s="88">
        <v>1068080</v>
      </c>
      <c r="J17" s="88">
        <v>0</v>
      </c>
    </row>
    <row r="18" spans="1:10">
      <c r="A18" s="87" t="s">
        <v>79</v>
      </c>
      <c r="B18" s="20" t="s">
        <v>290</v>
      </c>
      <c r="C18" s="92">
        <f t="shared" si="0"/>
        <v>6400490</v>
      </c>
      <c r="D18" s="88">
        <v>229970</v>
      </c>
      <c r="E18" s="88">
        <v>867980</v>
      </c>
      <c r="F18" s="88">
        <v>1349240</v>
      </c>
      <c r="G18" s="88">
        <v>627120</v>
      </c>
      <c r="H18" s="88">
        <v>1610250</v>
      </c>
      <c r="I18" s="88">
        <v>1715930</v>
      </c>
      <c r="J18" s="88">
        <v>0</v>
      </c>
    </row>
    <row r="19" spans="1:10">
      <c r="A19" s="87" t="s">
        <v>80</v>
      </c>
      <c r="B19" s="20" t="s">
        <v>291</v>
      </c>
      <c r="C19" s="92">
        <f t="shared" si="0"/>
        <v>0</v>
      </c>
      <c r="D19" s="88">
        <v>0</v>
      </c>
      <c r="E19" s="88">
        <v>0</v>
      </c>
      <c r="F19" s="88">
        <v>0</v>
      </c>
      <c r="G19" s="88">
        <v>0</v>
      </c>
      <c r="H19" s="88">
        <v>0</v>
      </c>
      <c r="I19" s="88">
        <v>0</v>
      </c>
      <c r="J19" s="88">
        <v>0</v>
      </c>
    </row>
    <row r="20" spans="1:10">
      <c r="A20" s="87" t="s">
        <v>81</v>
      </c>
      <c r="B20" s="20" t="s">
        <v>292</v>
      </c>
      <c r="C20" s="92">
        <f t="shared" si="0"/>
        <v>1807510</v>
      </c>
      <c r="D20" s="88">
        <v>150140</v>
      </c>
      <c r="E20" s="88">
        <v>271990</v>
      </c>
      <c r="F20" s="88">
        <v>434860</v>
      </c>
      <c r="G20" s="88">
        <v>77730</v>
      </c>
      <c r="H20" s="88">
        <v>519130</v>
      </c>
      <c r="I20" s="88">
        <v>353660</v>
      </c>
      <c r="J20" s="88">
        <v>0</v>
      </c>
    </row>
    <row r="21" spans="1:10">
      <c r="A21" s="87" t="s">
        <v>82</v>
      </c>
      <c r="B21" s="20" t="s">
        <v>293</v>
      </c>
      <c r="C21" s="92">
        <f t="shared" si="0"/>
        <v>414470</v>
      </c>
      <c r="D21" s="88">
        <v>61310</v>
      </c>
      <c r="E21" s="88">
        <v>33320</v>
      </c>
      <c r="F21" s="88">
        <v>19870</v>
      </c>
      <c r="G21" s="88">
        <v>89250</v>
      </c>
      <c r="H21" s="88">
        <v>107190</v>
      </c>
      <c r="I21" s="88">
        <v>103530</v>
      </c>
      <c r="J21" s="88">
        <v>0</v>
      </c>
    </row>
    <row r="22" spans="1:10" s="7" customFormat="1">
      <c r="A22" s="87" t="s">
        <v>93</v>
      </c>
      <c r="B22" s="20" t="s">
        <v>294</v>
      </c>
      <c r="C22" s="92">
        <f t="shared" si="0"/>
        <v>419210</v>
      </c>
      <c r="D22" s="88">
        <v>21150</v>
      </c>
      <c r="E22" s="88">
        <v>59250</v>
      </c>
      <c r="F22" s="88">
        <v>96690</v>
      </c>
      <c r="G22" s="88">
        <v>12420</v>
      </c>
      <c r="H22" s="88">
        <v>69360</v>
      </c>
      <c r="I22" s="88">
        <v>160340</v>
      </c>
      <c r="J22" s="88">
        <v>0</v>
      </c>
    </row>
    <row r="23" spans="1:10" s="10" customFormat="1">
      <c r="A23" s="87" t="s">
        <v>94</v>
      </c>
      <c r="B23" s="20" t="s">
        <v>295</v>
      </c>
      <c r="C23" s="92">
        <f t="shared" si="0"/>
        <v>789220</v>
      </c>
      <c r="D23" s="88">
        <f>45930+18400</f>
        <v>64330</v>
      </c>
      <c r="E23" s="88">
        <f>23380+9600</f>
        <v>32980</v>
      </c>
      <c r="F23" s="88">
        <f>36950+15200</f>
        <v>52150</v>
      </c>
      <c r="G23" s="88">
        <f>173140+4800</f>
        <v>177940</v>
      </c>
      <c r="H23" s="88">
        <f>353760+28000</f>
        <v>381760</v>
      </c>
      <c r="I23" s="88">
        <f>56860+23200</f>
        <v>80060</v>
      </c>
      <c r="J23" s="88">
        <v>0</v>
      </c>
    </row>
    <row r="24" spans="1:10">
      <c r="A24" s="87" t="s">
        <v>151</v>
      </c>
      <c r="B24" s="20" t="s">
        <v>296</v>
      </c>
      <c r="C24" s="92">
        <f t="shared" si="0"/>
        <v>1995460</v>
      </c>
      <c r="D24" s="88">
        <v>601530</v>
      </c>
      <c r="E24" s="88">
        <v>226190</v>
      </c>
      <c r="F24" s="88">
        <v>112270</v>
      </c>
      <c r="G24" s="88">
        <v>116180</v>
      </c>
      <c r="H24" s="88">
        <v>377070</v>
      </c>
      <c r="I24" s="88">
        <v>562220</v>
      </c>
      <c r="J24" s="88">
        <v>0</v>
      </c>
    </row>
    <row r="25" spans="1:10">
      <c r="A25" s="87" t="s">
        <v>153</v>
      </c>
      <c r="B25" s="20" t="s">
        <v>297</v>
      </c>
      <c r="C25" s="92">
        <f t="shared" si="0"/>
        <v>1177260</v>
      </c>
      <c r="D25" s="88">
        <v>126450</v>
      </c>
      <c r="E25" s="88">
        <v>117070</v>
      </c>
      <c r="F25" s="88">
        <v>161470</v>
      </c>
      <c r="G25" s="88">
        <v>60640</v>
      </c>
      <c r="H25" s="88">
        <v>369180</v>
      </c>
      <c r="I25" s="88">
        <v>342450</v>
      </c>
      <c r="J25" s="88">
        <v>0</v>
      </c>
    </row>
    <row r="26" spans="1:10">
      <c r="A26" s="87" t="s">
        <v>155</v>
      </c>
      <c r="B26" s="20" t="s">
        <v>298</v>
      </c>
      <c r="C26" s="92">
        <f t="shared" si="0"/>
        <v>1618680</v>
      </c>
      <c r="D26" s="88">
        <v>58670</v>
      </c>
      <c r="E26" s="88">
        <v>184080</v>
      </c>
      <c r="F26" s="88">
        <v>309330</v>
      </c>
      <c r="G26" s="88">
        <v>309330</v>
      </c>
      <c r="H26" s="88">
        <v>309430</v>
      </c>
      <c r="I26" s="88">
        <v>447840</v>
      </c>
      <c r="J26" s="88">
        <v>0</v>
      </c>
    </row>
    <row r="27" spans="1:10">
      <c r="A27" s="87" t="s">
        <v>157</v>
      </c>
      <c r="B27" s="20" t="s">
        <v>299</v>
      </c>
      <c r="C27" s="92">
        <f t="shared" si="0"/>
        <v>0</v>
      </c>
      <c r="D27" s="88"/>
      <c r="E27" s="88"/>
      <c r="F27" s="88"/>
      <c r="G27" s="88"/>
      <c r="H27" s="88"/>
      <c r="I27" s="88"/>
      <c r="J27" s="114"/>
    </row>
    <row r="28" spans="1:10" s="7" customFormat="1">
      <c r="A28" s="67"/>
      <c r="B28" s="89" t="s">
        <v>300</v>
      </c>
      <c r="C28" s="72">
        <f>SUM(C14:C27)</f>
        <v>26814750</v>
      </c>
      <c r="D28" s="72">
        <f t="shared" ref="D28:J28" si="1">SUM(D14:D27)</f>
        <v>3087390</v>
      </c>
      <c r="E28" s="72">
        <f t="shared" si="1"/>
        <v>2905730</v>
      </c>
      <c r="F28" s="72">
        <f t="shared" si="1"/>
        <v>4066170</v>
      </c>
      <c r="G28" s="72">
        <f t="shared" si="1"/>
        <v>2306070</v>
      </c>
      <c r="H28" s="72">
        <f t="shared" si="1"/>
        <v>6897430</v>
      </c>
      <c r="I28" s="72">
        <f t="shared" si="1"/>
        <v>7551960</v>
      </c>
      <c r="J28" s="72">
        <f t="shared" si="1"/>
        <v>0</v>
      </c>
    </row>
    <row r="30" spans="1:10" s="9" customFormat="1" ht="12">
      <c r="A30" s="71" t="s">
        <v>69</v>
      </c>
      <c r="B30" s="71" t="s">
        <v>301</v>
      </c>
      <c r="C30" s="71" t="s">
        <v>239</v>
      </c>
      <c r="D30" s="71" t="s">
        <v>394</v>
      </c>
      <c r="E30" s="71" t="s">
        <v>395</v>
      </c>
      <c r="F30" s="71" t="s">
        <v>396</v>
      </c>
      <c r="G30" s="71" t="s">
        <v>399</v>
      </c>
      <c r="H30" s="71" t="s">
        <v>400</v>
      </c>
      <c r="I30" s="71" t="s">
        <v>397</v>
      </c>
      <c r="J30" s="71" t="s">
        <v>398</v>
      </c>
    </row>
    <row r="31" spans="1:10" s="80" customFormat="1">
      <c r="A31" s="93" t="s">
        <v>303</v>
      </c>
      <c r="D31" s="80">
        <v>311</v>
      </c>
      <c r="E31" s="80">
        <v>321</v>
      </c>
      <c r="F31" s="80">
        <v>331</v>
      </c>
      <c r="G31" s="80">
        <v>341</v>
      </c>
      <c r="H31" s="80">
        <v>351</v>
      </c>
      <c r="I31" s="80">
        <v>361</v>
      </c>
      <c r="J31" s="80">
        <v>391</v>
      </c>
    </row>
    <row r="32" spans="1:10" s="83" customFormat="1">
      <c r="A32" s="87" t="s">
        <v>74</v>
      </c>
      <c r="B32" s="20" t="s">
        <v>286</v>
      </c>
      <c r="C32" s="92">
        <f>SUM(D32:J32)</f>
        <v>289950</v>
      </c>
      <c r="D32" s="88">
        <v>0</v>
      </c>
      <c r="E32" s="88">
        <v>0</v>
      </c>
      <c r="F32" s="88">
        <v>79910</v>
      </c>
      <c r="G32" s="88">
        <v>44530</v>
      </c>
      <c r="H32" s="88">
        <v>133170</v>
      </c>
      <c r="I32" s="88">
        <v>32340</v>
      </c>
      <c r="J32" s="88">
        <v>0</v>
      </c>
    </row>
    <row r="33" spans="1:10">
      <c r="A33" s="87" t="s">
        <v>76</v>
      </c>
      <c r="B33" s="20" t="s">
        <v>287</v>
      </c>
      <c r="C33" s="92">
        <f t="shared" ref="C33:C45" si="2">SUM(D33:J33)</f>
        <v>39680</v>
      </c>
      <c r="D33" s="88">
        <v>0</v>
      </c>
      <c r="E33" s="88">
        <v>0</v>
      </c>
      <c r="F33" s="88">
        <v>15970</v>
      </c>
      <c r="G33" s="88">
        <v>1710</v>
      </c>
      <c r="H33" s="88">
        <v>16100</v>
      </c>
      <c r="I33" s="88">
        <v>5900</v>
      </c>
      <c r="J33" s="88">
        <v>0</v>
      </c>
    </row>
    <row r="34" spans="1:10" s="20" customFormat="1">
      <c r="A34" s="87" t="s">
        <v>77</v>
      </c>
      <c r="B34" s="20" t="s">
        <v>288</v>
      </c>
      <c r="C34" s="92">
        <f t="shared" si="2"/>
        <v>0</v>
      </c>
      <c r="D34" s="88">
        <v>0</v>
      </c>
      <c r="E34" s="88">
        <v>0</v>
      </c>
      <c r="F34" s="88">
        <v>0</v>
      </c>
      <c r="G34" s="88">
        <v>0</v>
      </c>
      <c r="H34" s="88">
        <v>0</v>
      </c>
      <c r="I34" s="88">
        <v>0</v>
      </c>
      <c r="J34" s="88">
        <v>0</v>
      </c>
    </row>
    <row r="35" spans="1:10" s="20" customFormat="1">
      <c r="A35" s="87" t="s">
        <v>78</v>
      </c>
      <c r="B35" s="20" t="s">
        <v>289</v>
      </c>
      <c r="C35" s="92">
        <f t="shared" si="2"/>
        <v>0</v>
      </c>
      <c r="D35" s="88">
        <v>0</v>
      </c>
      <c r="E35" s="88">
        <v>0</v>
      </c>
      <c r="F35" s="88">
        <v>0</v>
      </c>
      <c r="G35" s="88">
        <v>0</v>
      </c>
      <c r="H35" s="88">
        <v>0</v>
      </c>
      <c r="I35" s="88">
        <v>0</v>
      </c>
      <c r="J35" s="88">
        <v>0</v>
      </c>
    </row>
    <row r="36" spans="1:10">
      <c r="A36" s="87" t="s">
        <v>79</v>
      </c>
      <c r="B36" s="20" t="s">
        <v>290</v>
      </c>
      <c r="C36" s="92">
        <f t="shared" si="2"/>
        <v>450810</v>
      </c>
      <c r="D36" s="88">
        <v>0</v>
      </c>
      <c r="E36" s="88">
        <v>0</v>
      </c>
      <c r="F36" s="88">
        <v>43240</v>
      </c>
      <c r="G36" s="88">
        <v>18020</v>
      </c>
      <c r="H36" s="88">
        <v>207630</v>
      </c>
      <c r="I36" s="88">
        <v>181920</v>
      </c>
      <c r="J36" s="88">
        <v>0</v>
      </c>
    </row>
    <row r="37" spans="1:10">
      <c r="A37" s="87" t="s">
        <v>80</v>
      </c>
      <c r="B37" s="20" t="s">
        <v>291</v>
      </c>
      <c r="C37" s="92">
        <f t="shared" si="2"/>
        <v>0</v>
      </c>
      <c r="D37" s="88">
        <v>0</v>
      </c>
      <c r="E37" s="88">
        <v>0</v>
      </c>
      <c r="F37" s="88">
        <v>0</v>
      </c>
      <c r="G37" s="88">
        <v>0</v>
      </c>
      <c r="H37" s="88">
        <v>0</v>
      </c>
      <c r="I37" s="88">
        <v>0</v>
      </c>
      <c r="J37" s="88">
        <v>0</v>
      </c>
    </row>
    <row r="38" spans="1:10">
      <c r="A38" s="87" t="s">
        <v>81</v>
      </c>
      <c r="B38" s="20" t="s">
        <v>292</v>
      </c>
      <c r="C38" s="92">
        <f t="shared" si="2"/>
        <v>74510</v>
      </c>
      <c r="D38" s="88">
        <v>0</v>
      </c>
      <c r="E38" s="88">
        <v>0</v>
      </c>
      <c r="F38" s="88">
        <v>15950</v>
      </c>
      <c r="G38" s="88">
        <v>7950</v>
      </c>
      <c r="H38" s="88">
        <v>32220</v>
      </c>
      <c r="I38" s="88">
        <v>18390</v>
      </c>
      <c r="J38" s="88">
        <v>0</v>
      </c>
    </row>
    <row r="39" spans="1:10">
      <c r="A39" s="87" t="s">
        <v>82</v>
      </c>
      <c r="B39" s="20" t="s">
        <v>293</v>
      </c>
      <c r="C39" s="92">
        <f t="shared" si="2"/>
        <v>39690</v>
      </c>
      <c r="D39" s="88">
        <v>0</v>
      </c>
      <c r="E39" s="88">
        <v>0</v>
      </c>
      <c r="F39" s="88">
        <v>14560</v>
      </c>
      <c r="G39" s="88">
        <v>13560</v>
      </c>
      <c r="H39" s="88">
        <v>5640</v>
      </c>
      <c r="I39" s="88">
        <v>5930</v>
      </c>
      <c r="J39" s="88">
        <v>0</v>
      </c>
    </row>
    <row r="40" spans="1:10" s="7" customFormat="1">
      <c r="A40" s="87" t="s">
        <v>93</v>
      </c>
      <c r="B40" s="20" t="s">
        <v>294</v>
      </c>
      <c r="C40" s="92">
        <f t="shared" si="2"/>
        <v>42690</v>
      </c>
      <c r="D40" s="88">
        <v>0</v>
      </c>
      <c r="E40" s="88">
        <v>0</v>
      </c>
      <c r="F40" s="88">
        <v>7120</v>
      </c>
      <c r="G40" s="88">
        <v>2650</v>
      </c>
      <c r="H40" s="88">
        <v>23770</v>
      </c>
      <c r="I40" s="88">
        <v>9150</v>
      </c>
      <c r="J40" s="88">
        <v>0</v>
      </c>
    </row>
    <row r="41" spans="1:10" s="10" customFormat="1">
      <c r="A41" s="87" t="s">
        <v>94</v>
      </c>
      <c r="B41" s="20" t="s">
        <v>295</v>
      </c>
      <c r="C41" s="92">
        <f t="shared" si="2"/>
        <v>23550</v>
      </c>
      <c r="D41" s="88">
        <v>0</v>
      </c>
      <c r="E41" s="88">
        <v>0</v>
      </c>
      <c r="F41" s="88">
        <f>3540+1600</f>
        <v>5140</v>
      </c>
      <c r="G41" s="88">
        <f>2710+1600</f>
        <v>4310</v>
      </c>
      <c r="H41" s="88">
        <f>7930+3200</f>
        <v>11130</v>
      </c>
      <c r="I41" s="88">
        <f>1370+1600</f>
        <v>2970</v>
      </c>
      <c r="J41" s="88">
        <v>0</v>
      </c>
    </row>
    <row r="42" spans="1:10">
      <c r="A42" s="87" t="s">
        <v>151</v>
      </c>
      <c r="B42" s="20" t="s">
        <v>296</v>
      </c>
      <c r="C42" s="92">
        <f t="shared" si="2"/>
        <v>61500</v>
      </c>
      <c r="D42" s="88">
        <v>0</v>
      </c>
      <c r="E42" s="88">
        <v>0</v>
      </c>
      <c r="F42" s="88">
        <v>20290</v>
      </c>
      <c r="G42" s="88">
        <v>5690</v>
      </c>
      <c r="H42" s="88">
        <v>8190</v>
      </c>
      <c r="I42" s="88">
        <v>27330</v>
      </c>
      <c r="J42" s="88">
        <v>0</v>
      </c>
    </row>
    <row r="43" spans="1:10">
      <c r="A43" s="87" t="s">
        <v>153</v>
      </c>
      <c r="B43" s="20" t="s">
        <v>297</v>
      </c>
      <c r="C43" s="92">
        <f t="shared" si="2"/>
        <v>36290</v>
      </c>
      <c r="D43" s="88">
        <v>0</v>
      </c>
      <c r="E43" s="88">
        <v>0</v>
      </c>
      <c r="F43" s="88">
        <v>10080</v>
      </c>
      <c r="G43" s="88">
        <v>2720</v>
      </c>
      <c r="H43" s="88">
        <v>2910</v>
      </c>
      <c r="I43" s="88">
        <v>20580</v>
      </c>
      <c r="J43" s="88">
        <v>0</v>
      </c>
    </row>
    <row r="44" spans="1:10">
      <c r="A44" s="87" t="s">
        <v>155</v>
      </c>
      <c r="B44" s="20" t="s">
        <v>298</v>
      </c>
      <c r="C44" s="92">
        <f t="shared" si="2"/>
        <v>54230</v>
      </c>
      <c r="D44" s="88">
        <v>0</v>
      </c>
      <c r="E44" s="88">
        <v>0</v>
      </c>
      <c r="F44" s="88">
        <v>12690</v>
      </c>
      <c r="G44" s="88">
        <v>4280</v>
      </c>
      <c r="H44" s="88">
        <v>7110</v>
      </c>
      <c r="I44" s="88">
        <v>30150</v>
      </c>
      <c r="J44" s="88">
        <v>0</v>
      </c>
    </row>
    <row r="45" spans="1:10">
      <c r="A45" s="87" t="s">
        <v>157</v>
      </c>
      <c r="B45" s="20" t="s">
        <v>299</v>
      </c>
      <c r="C45" s="92">
        <f t="shared" si="2"/>
        <v>0</v>
      </c>
      <c r="D45" s="88">
        <v>0</v>
      </c>
      <c r="E45" s="88">
        <v>0</v>
      </c>
      <c r="F45" s="88">
        <v>0</v>
      </c>
      <c r="G45" s="88">
        <v>0</v>
      </c>
      <c r="H45" s="88">
        <v>0</v>
      </c>
      <c r="I45" s="88">
        <v>0</v>
      </c>
      <c r="J45" s="88">
        <v>0</v>
      </c>
    </row>
    <row r="46" spans="1:10" s="7" customFormat="1">
      <c r="A46" s="67"/>
      <c r="B46" s="89" t="s">
        <v>300</v>
      </c>
      <c r="C46" s="72">
        <f>SUM(C32:C45)</f>
        <v>1112900</v>
      </c>
      <c r="D46" s="72">
        <f t="shared" ref="D46:J46" si="3">SUM(D32:D45)</f>
        <v>0</v>
      </c>
      <c r="E46" s="72">
        <f t="shared" si="3"/>
        <v>0</v>
      </c>
      <c r="F46" s="72">
        <f t="shared" si="3"/>
        <v>224950</v>
      </c>
      <c r="G46" s="72">
        <f t="shared" si="3"/>
        <v>105420</v>
      </c>
      <c r="H46" s="72">
        <f t="shared" si="3"/>
        <v>447870</v>
      </c>
      <c r="I46" s="72">
        <f t="shared" si="3"/>
        <v>334660</v>
      </c>
      <c r="J46" s="72">
        <f t="shared" si="3"/>
        <v>0</v>
      </c>
    </row>
    <row r="48" spans="1:10" s="9" customFormat="1" ht="12">
      <c r="A48" s="71" t="s">
        <v>69</v>
      </c>
      <c r="B48" s="71" t="s">
        <v>302</v>
      </c>
      <c r="C48" s="71" t="s">
        <v>239</v>
      </c>
      <c r="D48" s="71" t="s">
        <v>394</v>
      </c>
      <c r="E48" s="71" t="s">
        <v>395</v>
      </c>
      <c r="F48" s="71" t="s">
        <v>396</v>
      </c>
      <c r="G48" s="71" t="s">
        <v>399</v>
      </c>
      <c r="H48" s="71" t="s">
        <v>400</v>
      </c>
      <c r="I48" s="71" t="s">
        <v>397</v>
      </c>
      <c r="J48" s="71" t="s">
        <v>398</v>
      </c>
    </row>
    <row r="49" spans="1:13" s="80" customFormat="1">
      <c r="A49" s="93" t="s">
        <v>304</v>
      </c>
      <c r="D49" s="80">
        <v>311</v>
      </c>
      <c r="E49" s="80">
        <v>321</v>
      </c>
      <c r="F49" s="80">
        <v>331</v>
      </c>
      <c r="G49" s="80">
        <v>341</v>
      </c>
      <c r="H49" s="80">
        <v>351</v>
      </c>
      <c r="I49" s="80">
        <v>361</v>
      </c>
      <c r="J49" s="80">
        <v>391</v>
      </c>
    </row>
    <row r="50" spans="1:13" s="83" customFormat="1">
      <c r="A50" s="87" t="s">
        <v>74</v>
      </c>
      <c r="B50" s="20" t="s">
        <v>307</v>
      </c>
      <c r="C50" s="92">
        <f>SUM(D50:J50)</f>
        <v>11930</v>
      </c>
      <c r="D50" s="88">
        <v>0</v>
      </c>
      <c r="E50" s="88">
        <v>0</v>
      </c>
      <c r="F50" s="88">
        <v>0</v>
      </c>
      <c r="G50" s="88">
        <v>0</v>
      </c>
      <c r="H50" s="88">
        <v>11930</v>
      </c>
      <c r="I50" s="88">
        <v>0</v>
      </c>
      <c r="J50" s="88">
        <v>0</v>
      </c>
      <c r="M50" s="120"/>
    </row>
    <row r="51" spans="1:13">
      <c r="A51" s="87" t="s">
        <v>76</v>
      </c>
      <c r="B51" s="20" t="s">
        <v>308</v>
      </c>
      <c r="C51" s="92">
        <f t="shared" ref="C51:C65" si="4">SUM(D51:J51)</f>
        <v>0</v>
      </c>
      <c r="D51" s="88">
        <v>0</v>
      </c>
      <c r="E51" s="88">
        <v>0</v>
      </c>
      <c r="F51" s="88">
        <v>0</v>
      </c>
      <c r="G51" s="88">
        <v>0</v>
      </c>
      <c r="H51" s="88">
        <v>0</v>
      </c>
      <c r="I51" s="88">
        <v>0</v>
      </c>
      <c r="J51" s="88">
        <v>0</v>
      </c>
      <c r="M51" s="118"/>
    </row>
    <row r="52" spans="1:13" s="20" customFormat="1">
      <c r="A52" s="87" t="s">
        <v>77</v>
      </c>
      <c r="B52" s="20" t="s">
        <v>309</v>
      </c>
      <c r="C52" s="92">
        <f t="shared" si="4"/>
        <v>0</v>
      </c>
      <c r="D52" s="88">
        <v>0</v>
      </c>
      <c r="E52" s="88">
        <v>0</v>
      </c>
      <c r="F52" s="88">
        <v>0</v>
      </c>
      <c r="G52" s="88">
        <v>0</v>
      </c>
      <c r="H52" s="88">
        <v>0</v>
      </c>
      <c r="I52" s="88">
        <v>0</v>
      </c>
      <c r="J52" s="88">
        <v>0</v>
      </c>
      <c r="M52" s="115"/>
    </row>
    <row r="53" spans="1:13" s="20" customFormat="1">
      <c r="A53" s="87" t="s">
        <v>78</v>
      </c>
      <c r="B53" s="20" t="s">
        <v>310</v>
      </c>
      <c r="C53" s="92">
        <f t="shared" si="4"/>
        <v>146750</v>
      </c>
      <c r="D53" s="88">
        <v>6970</v>
      </c>
      <c r="E53" s="88">
        <v>31990</v>
      </c>
      <c r="F53" s="88">
        <v>52960</v>
      </c>
      <c r="G53" s="88">
        <v>5570</v>
      </c>
      <c r="H53" s="88">
        <v>49260</v>
      </c>
      <c r="I53" s="88">
        <v>0</v>
      </c>
      <c r="J53" s="88">
        <v>0</v>
      </c>
      <c r="M53" s="115"/>
    </row>
    <row r="54" spans="1:13">
      <c r="A54" s="87" t="s">
        <v>79</v>
      </c>
      <c r="B54" s="20" t="s">
        <v>311</v>
      </c>
      <c r="C54" s="92">
        <f t="shared" si="4"/>
        <v>114150</v>
      </c>
      <c r="D54" s="88">
        <v>0</v>
      </c>
      <c r="E54" s="88">
        <v>0</v>
      </c>
      <c r="F54" s="88">
        <v>0</v>
      </c>
      <c r="G54" s="88">
        <v>2750</v>
      </c>
      <c r="H54" s="88">
        <v>105150</v>
      </c>
      <c r="I54" s="88">
        <v>6250</v>
      </c>
      <c r="J54" s="88">
        <v>0</v>
      </c>
      <c r="M54" s="118"/>
    </row>
    <row r="55" spans="1:13">
      <c r="A55" s="87" t="s">
        <v>80</v>
      </c>
      <c r="B55" s="20" t="s">
        <v>312</v>
      </c>
      <c r="C55" s="92">
        <f t="shared" si="4"/>
        <v>145400</v>
      </c>
      <c r="D55" s="88">
        <v>0</v>
      </c>
      <c r="E55" s="88">
        <v>0</v>
      </c>
      <c r="F55" s="88">
        <v>130350</v>
      </c>
      <c r="G55" s="88">
        <v>0</v>
      </c>
      <c r="H55" s="88">
        <v>15050</v>
      </c>
      <c r="I55" s="88">
        <v>0</v>
      </c>
      <c r="J55" s="88">
        <v>0</v>
      </c>
      <c r="M55" s="118"/>
    </row>
    <row r="56" spans="1:13">
      <c r="A56" s="87" t="s">
        <v>81</v>
      </c>
      <c r="B56" s="20" t="s">
        <v>313</v>
      </c>
      <c r="C56" s="92">
        <f t="shared" si="4"/>
        <v>0</v>
      </c>
      <c r="D56" s="88">
        <v>0</v>
      </c>
      <c r="E56" s="88">
        <v>0</v>
      </c>
      <c r="F56" s="88">
        <v>0</v>
      </c>
      <c r="G56" s="88">
        <v>0</v>
      </c>
      <c r="H56" s="88">
        <v>0</v>
      </c>
      <c r="I56" s="88">
        <v>0</v>
      </c>
      <c r="J56" s="88">
        <v>0</v>
      </c>
      <c r="M56" s="118"/>
    </row>
    <row r="57" spans="1:13">
      <c r="A57" s="87" t="s">
        <v>82</v>
      </c>
      <c r="B57" s="20" t="s">
        <v>314</v>
      </c>
      <c r="C57" s="92">
        <f t="shared" si="4"/>
        <v>0</v>
      </c>
      <c r="D57" s="88">
        <v>0</v>
      </c>
      <c r="E57" s="88">
        <v>0</v>
      </c>
      <c r="F57" s="88">
        <v>0</v>
      </c>
      <c r="G57" s="88">
        <v>0</v>
      </c>
      <c r="H57" s="88">
        <v>0</v>
      </c>
      <c r="I57" s="88">
        <v>0</v>
      </c>
      <c r="J57" s="88">
        <v>0</v>
      </c>
      <c r="M57" s="118"/>
    </row>
    <row r="58" spans="1:13">
      <c r="A58" s="87" t="s">
        <v>93</v>
      </c>
      <c r="B58" s="20" t="s">
        <v>315</v>
      </c>
      <c r="C58" s="92">
        <f t="shared" si="4"/>
        <v>0</v>
      </c>
      <c r="D58" s="88">
        <v>0</v>
      </c>
      <c r="E58" s="88">
        <v>0</v>
      </c>
      <c r="F58" s="88">
        <v>0</v>
      </c>
      <c r="G58" s="88">
        <v>0</v>
      </c>
      <c r="H58" s="88">
        <v>0</v>
      </c>
      <c r="I58" s="88">
        <v>0</v>
      </c>
      <c r="J58" s="88">
        <v>0</v>
      </c>
      <c r="M58" s="118"/>
    </row>
    <row r="59" spans="1:13">
      <c r="A59" s="87" t="s">
        <v>94</v>
      </c>
      <c r="B59" s="20" t="s">
        <v>316</v>
      </c>
      <c r="C59" s="92">
        <f t="shared" si="4"/>
        <v>0</v>
      </c>
      <c r="D59" s="88">
        <v>0</v>
      </c>
      <c r="E59" s="88">
        <v>0</v>
      </c>
      <c r="F59" s="88">
        <v>0</v>
      </c>
      <c r="G59" s="88">
        <v>0</v>
      </c>
      <c r="H59" s="88">
        <v>0</v>
      </c>
      <c r="I59" s="88">
        <v>0</v>
      </c>
      <c r="J59" s="88">
        <v>0</v>
      </c>
      <c r="M59" s="118"/>
    </row>
    <row r="60" spans="1:13">
      <c r="A60" s="87" t="s">
        <v>151</v>
      </c>
      <c r="B60" s="20" t="s">
        <v>317</v>
      </c>
      <c r="C60" s="92">
        <f t="shared" si="4"/>
        <v>142070</v>
      </c>
      <c r="D60" s="88">
        <v>22060</v>
      </c>
      <c r="E60" s="88">
        <v>0</v>
      </c>
      <c r="F60" s="88">
        <v>0</v>
      </c>
      <c r="G60" s="88">
        <v>0</v>
      </c>
      <c r="H60" s="88">
        <v>0</v>
      </c>
      <c r="I60" s="88">
        <v>120010</v>
      </c>
      <c r="J60" s="88">
        <v>0</v>
      </c>
      <c r="M60" s="118"/>
    </row>
    <row r="61" spans="1:13">
      <c r="A61" s="87" t="s">
        <v>153</v>
      </c>
      <c r="B61" s="20" t="s">
        <v>318</v>
      </c>
      <c r="C61" s="92">
        <f t="shared" si="4"/>
        <v>0</v>
      </c>
      <c r="D61" s="88">
        <v>0</v>
      </c>
      <c r="E61" s="88">
        <v>0</v>
      </c>
      <c r="F61" s="88">
        <v>0</v>
      </c>
      <c r="G61" s="88">
        <v>0</v>
      </c>
      <c r="H61" s="88">
        <v>0</v>
      </c>
      <c r="I61" s="88">
        <v>0</v>
      </c>
      <c r="J61" s="88">
        <v>0</v>
      </c>
      <c r="M61" s="118"/>
    </row>
    <row r="62" spans="1:13">
      <c r="A62" s="87" t="s">
        <v>155</v>
      </c>
      <c r="B62" s="20" t="s">
        <v>319</v>
      </c>
      <c r="C62" s="92">
        <f t="shared" si="4"/>
        <v>0</v>
      </c>
      <c r="D62" s="88">
        <v>0</v>
      </c>
      <c r="E62" s="88">
        <v>0</v>
      </c>
      <c r="F62" s="88">
        <v>0</v>
      </c>
      <c r="G62" s="88">
        <v>0</v>
      </c>
      <c r="H62" s="88">
        <v>0</v>
      </c>
      <c r="I62" s="88">
        <v>0</v>
      </c>
      <c r="J62" s="88">
        <v>0</v>
      </c>
      <c r="M62" s="118"/>
    </row>
    <row r="63" spans="1:13" s="7" customFormat="1">
      <c r="A63" s="87" t="s">
        <v>157</v>
      </c>
      <c r="B63" s="20" t="s">
        <v>320</v>
      </c>
      <c r="C63" s="92">
        <f t="shared" si="4"/>
        <v>782680</v>
      </c>
      <c r="D63" s="88">
        <v>8090</v>
      </c>
      <c r="E63" s="88">
        <v>0</v>
      </c>
      <c r="F63" s="88">
        <v>0</v>
      </c>
      <c r="G63" s="88">
        <v>0</v>
      </c>
      <c r="H63" s="88">
        <v>0</v>
      </c>
      <c r="I63" s="88">
        <v>774590</v>
      </c>
      <c r="J63" s="88">
        <v>0</v>
      </c>
      <c r="M63" s="121"/>
    </row>
    <row r="64" spans="1:13" s="10" customFormat="1">
      <c r="A64" s="87" t="s">
        <v>159</v>
      </c>
      <c r="B64" s="20" t="s">
        <v>321</v>
      </c>
      <c r="C64" s="92">
        <f t="shared" si="4"/>
        <v>63670</v>
      </c>
      <c r="D64" s="88">
        <v>20940</v>
      </c>
      <c r="E64" s="88">
        <v>6770</v>
      </c>
      <c r="F64" s="88">
        <v>14320</v>
      </c>
      <c r="G64" s="88">
        <v>7620</v>
      </c>
      <c r="H64" s="88">
        <v>8670</v>
      </c>
      <c r="I64" s="88">
        <v>5350</v>
      </c>
      <c r="J64" s="88">
        <v>0</v>
      </c>
      <c r="M64" s="118"/>
    </row>
    <row r="65" spans="1:13">
      <c r="A65" s="87"/>
      <c r="B65" s="20"/>
      <c r="C65" s="92">
        <f t="shared" si="4"/>
        <v>0</v>
      </c>
      <c r="D65" s="88">
        <v>0</v>
      </c>
      <c r="E65" s="88">
        <v>0</v>
      </c>
      <c r="F65" s="88"/>
      <c r="G65" s="88"/>
      <c r="H65" s="88"/>
      <c r="I65" s="88"/>
      <c r="J65" s="88"/>
      <c r="M65" s="118"/>
    </row>
    <row r="66" spans="1:13" s="7" customFormat="1">
      <c r="A66" s="67"/>
      <c r="B66" s="89" t="s">
        <v>300</v>
      </c>
      <c r="C66" s="72">
        <f t="shared" ref="C66:J66" si="5">SUM(C50:C65)</f>
        <v>1406650</v>
      </c>
      <c r="D66" s="72">
        <f t="shared" si="5"/>
        <v>58060</v>
      </c>
      <c r="E66" s="72">
        <f t="shared" si="5"/>
        <v>38760</v>
      </c>
      <c r="F66" s="72">
        <f t="shared" si="5"/>
        <v>197630</v>
      </c>
      <c r="G66" s="72">
        <f t="shared" si="5"/>
        <v>15940</v>
      </c>
      <c r="H66" s="72">
        <f t="shared" si="5"/>
        <v>190060</v>
      </c>
      <c r="I66" s="72">
        <f t="shared" si="5"/>
        <v>906200</v>
      </c>
      <c r="J66" s="72">
        <f t="shared" si="5"/>
        <v>0</v>
      </c>
      <c r="M66" s="121"/>
    </row>
    <row r="68" spans="1:13" s="9" customFormat="1" ht="12">
      <c r="A68" s="71" t="s">
        <v>69</v>
      </c>
      <c r="B68" s="71" t="s">
        <v>324</v>
      </c>
      <c r="C68" s="71" t="s">
        <v>239</v>
      </c>
      <c r="D68" s="71" t="s">
        <v>394</v>
      </c>
      <c r="E68" s="71" t="s">
        <v>395</v>
      </c>
      <c r="F68" s="71" t="s">
        <v>396</v>
      </c>
      <c r="G68" s="71" t="s">
        <v>399</v>
      </c>
      <c r="H68" s="71" t="s">
        <v>400</v>
      </c>
      <c r="I68" s="71" t="s">
        <v>397</v>
      </c>
      <c r="J68" s="71" t="s">
        <v>398</v>
      </c>
    </row>
    <row r="69" spans="1:13" s="80" customFormat="1">
      <c r="A69" s="93" t="s">
        <v>323</v>
      </c>
      <c r="D69" s="80">
        <v>311</v>
      </c>
      <c r="E69" s="80">
        <v>321</v>
      </c>
      <c r="F69" s="80">
        <v>331</v>
      </c>
      <c r="G69" s="80">
        <v>341</v>
      </c>
      <c r="H69" s="80">
        <v>351</v>
      </c>
      <c r="I69" s="80">
        <v>361</v>
      </c>
      <c r="J69" s="80">
        <v>391</v>
      </c>
    </row>
    <row r="70" spans="1:13" s="83" customFormat="1">
      <c r="A70" s="87" t="s">
        <v>74</v>
      </c>
      <c r="B70" s="20" t="s">
        <v>325</v>
      </c>
      <c r="C70" s="92">
        <f>SUM(D70:J70)</f>
        <v>1933330</v>
      </c>
      <c r="D70" s="88">
        <v>0</v>
      </c>
      <c r="E70" s="88">
        <v>0</v>
      </c>
      <c r="F70" s="88">
        <v>0</v>
      </c>
      <c r="G70" s="88">
        <v>0</v>
      </c>
      <c r="H70" s="88">
        <v>1933330</v>
      </c>
      <c r="I70" s="88">
        <v>0</v>
      </c>
      <c r="J70" s="88">
        <v>0</v>
      </c>
      <c r="M70" s="120"/>
    </row>
    <row r="71" spans="1:13">
      <c r="A71" s="87" t="s">
        <v>76</v>
      </c>
      <c r="B71" s="20" t="s">
        <v>326</v>
      </c>
      <c r="C71" s="92">
        <f t="shared" ref="C71:C91" si="6">SUM(D71:J71)</f>
        <v>0</v>
      </c>
      <c r="D71" s="88">
        <v>0</v>
      </c>
      <c r="E71" s="88">
        <v>0</v>
      </c>
      <c r="F71" s="88">
        <v>0</v>
      </c>
      <c r="G71" s="88">
        <v>0</v>
      </c>
      <c r="H71" s="88">
        <v>0</v>
      </c>
      <c r="I71" s="88">
        <v>0</v>
      </c>
      <c r="J71" s="88">
        <v>0</v>
      </c>
      <c r="M71" s="118"/>
    </row>
    <row r="72" spans="1:13" s="20" customFormat="1">
      <c r="A72" s="87" t="s">
        <v>77</v>
      </c>
      <c r="B72" s="20" t="s">
        <v>327</v>
      </c>
      <c r="C72" s="92">
        <f t="shared" si="6"/>
        <v>2059660</v>
      </c>
      <c r="D72" s="88">
        <v>0</v>
      </c>
      <c r="E72" s="88">
        <v>0</v>
      </c>
      <c r="F72" s="88">
        <v>0</v>
      </c>
      <c r="G72" s="88">
        <v>0</v>
      </c>
      <c r="H72" s="88">
        <v>0</v>
      </c>
      <c r="I72" s="88">
        <v>2059660</v>
      </c>
      <c r="J72" s="88">
        <v>0</v>
      </c>
      <c r="M72" s="115"/>
    </row>
    <row r="73" spans="1:13" s="20" customFormat="1">
      <c r="A73" s="87" t="s">
        <v>78</v>
      </c>
      <c r="B73" s="20" t="s">
        <v>328</v>
      </c>
      <c r="C73" s="92">
        <f t="shared" si="6"/>
        <v>0</v>
      </c>
      <c r="D73" s="88">
        <v>0</v>
      </c>
      <c r="E73" s="88">
        <v>0</v>
      </c>
      <c r="F73" s="88">
        <v>0</v>
      </c>
      <c r="G73" s="88">
        <v>0</v>
      </c>
      <c r="H73" s="88">
        <v>0</v>
      </c>
      <c r="I73" s="88">
        <v>0</v>
      </c>
      <c r="J73" s="88">
        <v>0</v>
      </c>
      <c r="M73" s="115"/>
    </row>
    <row r="74" spans="1:13">
      <c r="A74" s="87" t="s">
        <v>79</v>
      </c>
      <c r="B74" s="20" t="s">
        <v>329</v>
      </c>
      <c r="C74" s="92">
        <f t="shared" si="6"/>
        <v>614160</v>
      </c>
      <c r="D74" s="88">
        <v>65830</v>
      </c>
      <c r="E74" s="88">
        <v>0</v>
      </c>
      <c r="F74" s="88">
        <v>89770</v>
      </c>
      <c r="G74" s="88">
        <v>0</v>
      </c>
      <c r="H74" s="88">
        <v>458560</v>
      </c>
      <c r="I74" s="88">
        <v>0</v>
      </c>
      <c r="J74" s="88">
        <v>0</v>
      </c>
      <c r="M74" s="118"/>
    </row>
    <row r="75" spans="1:13">
      <c r="A75" s="87" t="s">
        <v>80</v>
      </c>
      <c r="B75" s="20" t="s">
        <v>330</v>
      </c>
      <c r="C75" s="92">
        <f t="shared" si="6"/>
        <v>360070</v>
      </c>
      <c r="D75" s="88">
        <v>0</v>
      </c>
      <c r="E75" s="88">
        <v>0</v>
      </c>
      <c r="F75" s="88">
        <v>0</v>
      </c>
      <c r="G75" s="88">
        <v>0</v>
      </c>
      <c r="H75" s="88">
        <v>360070</v>
      </c>
      <c r="I75" s="88">
        <v>0</v>
      </c>
      <c r="J75" s="88">
        <v>0</v>
      </c>
      <c r="M75" s="118"/>
    </row>
    <row r="76" spans="1:13">
      <c r="A76" s="87" t="s">
        <v>81</v>
      </c>
      <c r="B76" s="20" t="s">
        <v>331</v>
      </c>
      <c r="C76" s="92">
        <f t="shared" si="6"/>
        <v>1684420</v>
      </c>
      <c r="D76" s="88">
        <v>223960</v>
      </c>
      <c r="E76" s="88">
        <v>0</v>
      </c>
      <c r="F76" s="88">
        <v>287290</v>
      </c>
      <c r="G76" s="88">
        <v>256610</v>
      </c>
      <c r="H76" s="88">
        <v>916560</v>
      </c>
      <c r="I76" s="88">
        <v>0</v>
      </c>
      <c r="J76" s="88">
        <v>0</v>
      </c>
      <c r="M76" s="118"/>
    </row>
    <row r="77" spans="1:13">
      <c r="A77" s="87" t="s">
        <v>82</v>
      </c>
      <c r="B77" s="20" t="s">
        <v>332</v>
      </c>
      <c r="C77" s="92">
        <f t="shared" si="6"/>
        <v>2124830</v>
      </c>
      <c r="D77" s="88">
        <v>0</v>
      </c>
      <c r="E77" s="88">
        <v>2740</v>
      </c>
      <c r="F77" s="88">
        <v>0</v>
      </c>
      <c r="G77" s="88">
        <v>0</v>
      </c>
      <c r="H77" s="88">
        <v>2122090</v>
      </c>
      <c r="I77" s="88">
        <v>0</v>
      </c>
      <c r="J77" s="88">
        <v>0</v>
      </c>
      <c r="M77" s="118"/>
    </row>
    <row r="78" spans="1:13">
      <c r="A78" s="87" t="s">
        <v>93</v>
      </c>
      <c r="B78" s="20" t="s">
        <v>333</v>
      </c>
      <c r="C78" s="92">
        <f t="shared" si="6"/>
        <v>38640</v>
      </c>
      <c r="D78" s="88">
        <v>13270</v>
      </c>
      <c r="E78" s="88">
        <v>0</v>
      </c>
      <c r="F78" s="88">
        <v>0</v>
      </c>
      <c r="G78" s="88">
        <v>0</v>
      </c>
      <c r="H78" s="88">
        <v>7420</v>
      </c>
      <c r="I78" s="88">
        <v>17950</v>
      </c>
      <c r="J78" s="88">
        <v>0</v>
      </c>
      <c r="M78" s="118"/>
    </row>
    <row r="79" spans="1:13">
      <c r="A79" s="87" t="s">
        <v>94</v>
      </c>
      <c r="B79" s="20" t="s">
        <v>334</v>
      </c>
      <c r="C79" s="92">
        <f t="shared" si="6"/>
        <v>3190</v>
      </c>
      <c r="D79" s="88">
        <v>3190</v>
      </c>
      <c r="E79" s="88">
        <v>0</v>
      </c>
      <c r="F79" s="88">
        <v>0</v>
      </c>
      <c r="G79" s="88">
        <v>0</v>
      </c>
      <c r="H79" s="88">
        <v>0</v>
      </c>
      <c r="I79" s="88">
        <v>0</v>
      </c>
      <c r="J79" s="88">
        <v>0</v>
      </c>
      <c r="M79" s="118"/>
    </row>
    <row r="80" spans="1:13">
      <c r="A80" s="87" t="s">
        <v>151</v>
      </c>
      <c r="B80" s="20" t="s">
        <v>335</v>
      </c>
      <c r="C80" s="92">
        <f t="shared" si="6"/>
        <v>0</v>
      </c>
      <c r="D80" s="88">
        <v>0</v>
      </c>
      <c r="E80" s="88">
        <v>0</v>
      </c>
      <c r="F80" s="88">
        <v>0</v>
      </c>
      <c r="G80" s="88">
        <v>0</v>
      </c>
      <c r="H80" s="88">
        <v>0</v>
      </c>
      <c r="I80" s="88">
        <v>0</v>
      </c>
      <c r="J80" s="88">
        <v>0</v>
      </c>
      <c r="M80" s="118"/>
    </row>
    <row r="81" spans="1:13">
      <c r="A81" s="87" t="s">
        <v>153</v>
      </c>
      <c r="B81" s="20" t="s">
        <v>336</v>
      </c>
      <c r="C81" s="92">
        <f t="shared" si="6"/>
        <v>0</v>
      </c>
      <c r="D81" s="88">
        <v>0</v>
      </c>
      <c r="E81" s="88">
        <v>0</v>
      </c>
      <c r="F81" s="88">
        <v>0</v>
      </c>
      <c r="G81" s="88">
        <v>0</v>
      </c>
      <c r="H81" s="88">
        <v>0</v>
      </c>
      <c r="I81" s="88">
        <v>0</v>
      </c>
      <c r="J81" s="88">
        <v>0</v>
      </c>
      <c r="M81" s="118"/>
    </row>
    <row r="82" spans="1:13">
      <c r="A82" s="87" t="s">
        <v>155</v>
      </c>
      <c r="B82" s="20" t="s">
        <v>337</v>
      </c>
      <c r="C82" s="92">
        <f t="shared" si="6"/>
        <v>22060</v>
      </c>
      <c r="D82" s="88">
        <v>22060</v>
      </c>
      <c r="E82" s="88">
        <v>0</v>
      </c>
      <c r="F82" s="88">
        <v>0</v>
      </c>
      <c r="G82" s="88">
        <v>0</v>
      </c>
      <c r="H82" s="88">
        <v>0</v>
      </c>
      <c r="I82" s="88">
        <v>0</v>
      </c>
      <c r="J82" s="88">
        <v>0</v>
      </c>
      <c r="M82" s="118"/>
    </row>
    <row r="83" spans="1:13" s="7" customFormat="1">
      <c r="A83" s="87" t="s">
        <v>157</v>
      </c>
      <c r="B83" s="20" t="s">
        <v>338</v>
      </c>
      <c r="C83" s="92">
        <f t="shared" si="6"/>
        <v>0</v>
      </c>
      <c r="D83" s="88">
        <v>0</v>
      </c>
      <c r="E83" s="88">
        <v>0</v>
      </c>
      <c r="F83" s="88">
        <v>0</v>
      </c>
      <c r="G83" s="88">
        <v>0</v>
      </c>
      <c r="H83" s="88">
        <v>0</v>
      </c>
      <c r="I83" s="88">
        <v>0</v>
      </c>
      <c r="J83" s="88">
        <v>0</v>
      </c>
      <c r="M83" s="121"/>
    </row>
    <row r="84" spans="1:13" s="10" customFormat="1">
      <c r="A84" s="87" t="s">
        <v>159</v>
      </c>
      <c r="B84" s="20" t="s">
        <v>339</v>
      </c>
      <c r="C84" s="92">
        <f t="shared" si="6"/>
        <v>68510</v>
      </c>
      <c r="D84" s="88">
        <v>0</v>
      </c>
      <c r="E84" s="88">
        <v>0</v>
      </c>
      <c r="F84" s="88">
        <v>0</v>
      </c>
      <c r="G84" s="88">
        <v>0</v>
      </c>
      <c r="H84" s="88">
        <v>0</v>
      </c>
      <c r="I84" s="88">
        <v>68510</v>
      </c>
      <c r="J84" s="88">
        <v>0</v>
      </c>
      <c r="M84" s="122"/>
    </row>
    <row r="85" spans="1:13" s="10" customFormat="1">
      <c r="A85" s="87" t="s">
        <v>305</v>
      </c>
      <c r="B85" s="20" t="s">
        <v>340</v>
      </c>
      <c r="C85" s="92">
        <f t="shared" si="6"/>
        <v>0</v>
      </c>
      <c r="D85" s="88">
        <v>0</v>
      </c>
      <c r="E85" s="88">
        <v>0</v>
      </c>
      <c r="F85" s="88">
        <v>0</v>
      </c>
      <c r="G85" s="88">
        <v>0</v>
      </c>
      <c r="H85" s="88">
        <v>0</v>
      </c>
      <c r="I85" s="88">
        <v>0</v>
      </c>
      <c r="J85" s="88">
        <v>0</v>
      </c>
      <c r="M85" s="122"/>
    </row>
    <row r="86" spans="1:13" s="10" customFormat="1">
      <c r="A86" s="87" t="s">
        <v>129</v>
      </c>
      <c r="B86" s="20" t="s">
        <v>341</v>
      </c>
      <c r="C86" s="92">
        <f t="shared" si="6"/>
        <v>230810</v>
      </c>
      <c r="D86" s="88">
        <v>0</v>
      </c>
      <c r="E86" s="88">
        <v>27320</v>
      </c>
      <c r="F86" s="88">
        <v>203490</v>
      </c>
      <c r="G86" s="88">
        <v>0</v>
      </c>
      <c r="H86" s="88">
        <v>0</v>
      </c>
      <c r="I86" s="88">
        <v>0</v>
      </c>
      <c r="J86" s="88">
        <v>0</v>
      </c>
      <c r="M86" s="122"/>
    </row>
    <row r="87" spans="1:13" s="10" customFormat="1">
      <c r="A87" s="87" t="s">
        <v>306</v>
      </c>
      <c r="B87" s="20" t="s">
        <v>342</v>
      </c>
      <c r="C87" s="92">
        <f t="shared" si="6"/>
        <v>124600</v>
      </c>
      <c r="D87" s="88">
        <v>0</v>
      </c>
      <c r="E87" s="88">
        <v>0</v>
      </c>
      <c r="F87" s="88">
        <v>0</v>
      </c>
      <c r="G87" s="88">
        <v>124600</v>
      </c>
      <c r="H87" s="88">
        <v>0</v>
      </c>
      <c r="I87" s="88">
        <v>0</v>
      </c>
      <c r="J87" s="88">
        <v>0</v>
      </c>
      <c r="M87" s="122"/>
    </row>
    <row r="88" spans="1:13" s="10" customFormat="1">
      <c r="A88" s="87" t="s">
        <v>216</v>
      </c>
      <c r="B88" s="20" t="s">
        <v>343</v>
      </c>
      <c r="C88" s="92">
        <f t="shared" si="6"/>
        <v>119060</v>
      </c>
      <c r="D88" s="88">
        <v>0</v>
      </c>
      <c r="E88" s="88">
        <v>0</v>
      </c>
      <c r="F88" s="88">
        <v>0</v>
      </c>
      <c r="G88" s="88">
        <v>119060</v>
      </c>
      <c r="H88" s="88">
        <v>0</v>
      </c>
      <c r="I88" s="88">
        <v>0</v>
      </c>
      <c r="J88" s="88">
        <v>0</v>
      </c>
      <c r="M88" s="122"/>
    </row>
    <row r="89" spans="1:13" s="10" customFormat="1">
      <c r="A89" s="87" t="s">
        <v>347</v>
      </c>
      <c r="B89" s="20" t="s">
        <v>344</v>
      </c>
      <c r="C89" s="92">
        <f t="shared" si="6"/>
        <v>187510</v>
      </c>
      <c r="D89" s="88">
        <v>0</v>
      </c>
      <c r="E89" s="88">
        <v>0</v>
      </c>
      <c r="F89" s="88">
        <v>187510</v>
      </c>
      <c r="G89" s="88">
        <v>0</v>
      </c>
      <c r="H89" s="88">
        <v>0</v>
      </c>
      <c r="I89" s="88">
        <v>0</v>
      </c>
      <c r="J89" s="88">
        <v>0</v>
      </c>
      <c r="M89" s="122"/>
    </row>
    <row r="90" spans="1:13" s="10" customFormat="1">
      <c r="A90" s="87" t="s">
        <v>218</v>
      </c>
      <c r="B90" s="20" t="s">
        <v>345</v>
      </c>
      <c r="C90" s="92">
        <f t="shared" si="6"/>
        <v>14650450</v>
      </c>
      <c r="D90" s="88">
        <v>50890</v>
      </c>
      <c r="E90" s="88">
        <v>1700</v>
      </c>
      <c r="F90" s="88">
        <v>7320140</v>
      </c>
      <c r="G90" s="88">
        <v>201240</v>
      </c>
      <c r="H90" s="88">
        <v>77110</v>
      </c>
      <c r="I90" s="88">
        <v>6999370</v>
      </c>
      <c r="J90" s="88">
        <v>0</v>
      </c>
      <c r="M90" s="122"/>
    </row>
    <row r="91" spans="1:13">
      <c r="A91" s="87" t="s">
        <v>348</v>
      </c>
      <c r="B91" s="20" t="s">
        <v>346</v>
      </c>
      <c r="C91" s="92">
        <f t="shared" si="6"/>
        <v>1625240</v>
      </c>
      <c r="D91" s="363">
        <v>171590</v>
      </c>
      <c r="E91" s="88">
        <v>0</v>
      </c>
      <c r="F91" s="88">
        <v>529560</v>
      </c>
      <c r="G91" s="88">
        <v>0</v>
      </c>
      <c r="H91" s="88">
        <v>230360</v>
      </c>
      <c r="I91" s="88">
        <v>693730</v>
      </c>
      <c r="J91" s="88">
        <v>0</v>
      </c>
      <c r="M91" s="118"/>
    </row>
    <row r="92" spans="1:13" s="7" customFormat="1">
      <c r="A92" s="67"/>
      <c r="B92" s="89" t="s">
        <v>300</v>
      </c>
      <c r="C92" s="72">
        <f t="shared" ref="C92:J92" si="7">SUM(C70:C91)</f>
        <v>25846540</v>
      </c>
      <c r="D92" s="72">
        <f t="shared" si="7"/>
        <v>550790</v>
      </c>
      <c r="E92" s="72">
        <f t="shared" si="7"/>
        <v>31760</v>
      </c>
      <c r="F92" s="72">
        <f t="shared" si="7"/>
        <v>8617760</v>
      </c>
      <c r="G92" s="72">
        <f t="shared" si="7"/>
        <v>701510</v>
      </c>
      <c r="H92" s="72">
        <f t="shared" si="7"/>
        <v>6105500</v>
      </c>
      <c r="I92" s="72">
        <f t="shared" si="7"/>
        <v>9839220</v>
      </c>
      <c r="J92" s="72">
        <f t="shared" si="7"/>
        <v>0</v>
      </c>
      <c r="M92" s="121"/>
    </row>
    <row r="93" spans="1:13">
      <c r="M93" s="118"/>
    </row>
    <row r="94" spans="1:13" s="9" customFormat="1" ht="12">
      <c r="A94" s="71" t="s">
        <v>69</v>
      </c>
      <c r="B94" s="71" t="s">
        <v>349</v>
      </c>
      <c r="C94" s="71" t="s">
        <v>239</v>
      </c>
      <c r="D94" s="71" t="s">
        <v>394</v>
      </c>
      <c r="E94" s="71" t="s">
        <v>395</v>
      </c>
      <c r="F94" s="71" t="s">
        <v>396</v>
      </c>
      <c r="G94" s="71" t="s">
        <v>399</v>
      </c>
      <c r="H94" s="71" t="s">
        <v>400</v>
      </c>
      <c r="I94" s="71" t="s">
        <v>397</v>
      </c>
      <c r="J94" s="71" t="s">
        <v>398</v>
      </c>
      <c r="M94" s="116"/>
    </row>
    <row r="95" spans="1:13" s="80" customFormat="1">
      <c r="A95" s="93" t="s">
        <v>350</v>
      </c>
      <c r="D95" s="80">
        <v>311</v>
      </c>
      <c r="E95" s="80">
        <v>321</v>
      </c>
      <c r="F95" s="80">
        <v>331</v>
      </c>
      <c r="G95" s="80">
        <v>341</v>
      </c>
      <c r="H95" s="80">
        <v>351</v>
      </c>
      <c r="I95" s="80">
        <v>361</v>
      </c>
      <c r="J95" s="80">
        <v>391</v>
      </c>
    </row>
    <row r="96" spans="1:13" s="83" customFormat="1">
      <c r="A96" s="87" t="s">
        <v>74</v>
      </c>
      <c r="B96" s="20" t="s">
        <v>351</v>
      </c>
      <c r="C96" s="92">
        <f>SUM(D96:J96)</f>
        <v>0</v>
      </c>
      <c r="D96" s="88">
        <v>0</v>
      </c>
      <c r="E96" s="88">
        <v>0</v>
      </c>
      <c r="F96" s="88">
        <v>0</v>
      </c>
      <c r="G96" s="88">
        <v>0</v>
      </c>
      <c r="H96" s="88">
        <v>0</v>
      </c>
      <c r="I96" s="88">
        <v>0</v>
      </c>
      <c r="J96" s="88">
        <v>0</v>
      </c>
      <c r="L96" s="80"/>
      <c r="M96" s="120"/>
    </row>
    <row r="97" spans="1:13">
      <c r="A97" s="87" t="s">
        <v>76</v>
      </c>
      <c r="B97" s="20" t="s">
        <v>352</v>
      </c>
      <c r="C97" s="92">
        <f t="shared" ref="C97:C106" si="8">SUM(D97:J97)</f>
        <v>1020</v>
      </c>
      <c r="D97" s="88">
        <v>0</v>
      </c>
      <c r="E97" s="88">
        <v>0</v>
      </c>
      <c r="F97" s="88">
        <v>0</v>
      </c>
      <c r="G97" s="88">
        <v>0</v>
      </c>
      <c r="H97" s="88">
        <v>0</v>
      </c>
      <c r="I97" s="88">
        <v>1020</v>
      </c>
      <c r="J97" s="88">
        <v>0</v>
      </c>
      <c r="L97" s="80"/>
      <c r="M97" s="118"/>
    </row>
    <row r="98" spans="1:13" s="20" customFormat="1">
      <c r="A98" s="87" t="s">
        <v>77</v>
      </c>
      <c r="B98" s="20" t="s">
        <v>353</v>
      </c>
      <c r="C98" s="92">
        <f t="shared" si="8"/>
        <v>0</v>
      </c>
      <c r="D98" s="88">
        <v>0</v>
      </c>
      <c r="E98" s="88">
        <v>0</v>
      </c>
      <c r="F98" s="88">
        <v>0</v>
      </c>
      <c r="G98" s="88">
        <v>0</v>
      </c>
      <c r="H98" s="88">
        <v>0</v>
      </c>
      <c r="I98" s="88">
        <v>0</v>
      </c>
      <c r="J98" s="88">
        <v>0</v>
      </c>
      <c r="L98" s="80"/>
      <c r="M98" s="115"/>
    </row>
    <row r="99" spans="1:13" s="20" customFormat="1">
      <c r="A99" s="87" t="s">
        <v>78</v>
      </c>
      <c r="B99" s="20" t="s">
        <v>354</v>
      </c>
      <c r="C99" s="92">
        <f t="shared" si="8"/>
        <v>108750</v>
      </c>
      <c r="D99" s="88">
        <v>0</v>
      </c>
      <c r="E99" s="88">
        <v>0</v>
      </c>
      <c r="F99" s="88">
        <v>0</v>
      </c>
      <c r="G99" s="88">
        <v>0</v>
      </c>
      <c r="H99" s="88">
        <v>0</v>
      </c>
      <c r="I99" s="88">
        <v>108750</v>
      </c>
      <c r="J99" s="88">
        <v>0</v>
      </c>
      <c r="L99" s="80"/>
      <c r="M99" s="115"/>
    </row>
    <row r="100" spans="1:13">
      <c r="A100" s="87" t="s">
        <v>79</v>
      </c>
      <c r="B100" s="20" t="s">
        <v>355</v>
      </c>
      <c r="C100" s="92">
        <f t="shared" si="8"/>
        <v>0</v>
      </c>
      <c r="D100" s="88">
        <v>0</v>
      </c>
      <c r="E100" s="88">
        <v>0</v>
      </c>
      <c r="F100" s="88">
        <v>0</v>
      </c>
      <c r="G100" s="88">
        <v>0</v>
      </c>
      <c r="H100" s="88">
        <v>0</v>
      </c>
      <c r="I100" s="88">
        <v>0</v>
      </c>
      <c r="J100" s="88">
        <v>0</v>
      </c>
      <c r="L100" s="80"/>
      <c r="M100" s="118"/>
    </row>
    <row r="101" spans="1:13">
      <c r="A101" s="87" t="s">
        <v>80</v>
      </c>
      <c r="B101" s="20" t="s">
        <v>356</v>
      </c>
      <c r="C101" s="92">
        <f t="shared" si="8"/>
        <v>0</v>
      </c>
      <c r="D101" s="88">
        <v>0</v>
      </c>
      <c r="E101" s="88">
        <v>0</v>
      </c>
      <c r="F101" s="88">
        <v>0</v>
      </c>
      <c r="G101" s="88">
        <v>0</v>
      </c>
      <c r="H101" s="88">
        <v>0</v>
      </c>
      <c r="I101" s="88">
        <v>0</v>
      </c>
      <c r="J101" s="88">
        <v>0</v>
      </c>
      <c r="L101" s="80"/>
      <c r="M101" s="118"/>
    </row>
    <row r="102" spans="1:13">
      <c r="A102" s="87" t="s">
        <v>81</v>
      </c>
      <c r="B102" s="20" t="s">
        <v>357</v>
      </c>
      <c r="C102" s="92">
        <f t="shared" si="8"/>
        <v>0</v>
      </c>
      <c r="D102" s="88">
        <v>0</v>
      </c>
      <c r="E102" s="88">
        <v>0</v>
      </c>
      <c r="F102" s="88">
        <v>0</v>
      </c>
      <c r="G102" s="88">
        <v>0</v>
      </c>
      <c r="H102" s="88">
        <v>0</v>
      </c>
      <c r="I102" s="88">
        <v>0</v>
      </c>
      <c r="J102" s="88">
        <v>0</v>
      </c>
      <c r="L102" s="80"/>
      <c r="M102" s="118"/>
    </row>
    <row r="103" spans="1:13">
      <c r="A103" s="87" t="s">
        <v>82</v>
      </c>
      <c r="B103" s="20" t="s">
        <v>358</v>
      </c>
      <c r="C103" s="92">
        <f t="shared" si="8"/>
        <v>17290</v>
      </c>
      <c r="D103" s="88">
        <v>0</v>
      </c>
      <c r="E103" s="88">
        <v>0</v>
      </c>
      <c r="F103" s="88">
        <v>0</v>
      </c>
      <c r="G103" s="88">
        <v>4130</v>
      </c>
      <c r="H103" s="88">
        <v>0</v>
      </c>
      <c r="I103" s="88">
        <v>13160</v>
      </c>
      <c r="J103" s="88">
        <v>0</v>
      </c>
      <c r="L103" s="80"/>
      <c r="M103" s="118"/>
    </row>
    <row r="104" spans="1:13">
      <c r="A104" s="87" t="s">
        <v>93</v>
      </c>
      <c r="B104" s="20" t="s">
        <v>359</v>
      </c>
      <c r="C104" s="92">
        <f t="shared" si="8"/>
        <v>483170</v>
      </c>
      <c r="D104" s="88">
        <v>0</v>
      </c>
      <c r="E104" s="88">
        <v>0</v>
      </c>
      <c r="F104" s="88">
        <v>4380</v>
      </c>
      <c r="G104" s="88">
        <v>0</v>
      </c>
      <c r="H104" s="88">
        <v>0</v>
      </c>
      <c r="I104" s="88">
        <v>478790</v>
      </c>
      <c r="J104" s="88">
        <v>0</v>
      </c>
      <c r="L104" s="80"/>
      <c r="M104" s="118"/>
    </row>
    <row r="105" spans="1:13">
      <c r="A105" s="87" t="s">
        <v>94</v>
      </c>
      <c r="B105" s="20" t="s">
        <v>360</v>
      </c>
      <c r="C105" s="92">
        <f t="shared" si="8"/>
        <v>80910</v>
      </c>
      <c r="D105" s="88">
        <v>0</v>
      </c>
      <c r="E105" s="88">
        <v>0</v>
      </c>
      <c r="F105" s="88">
        <v>0</v>
      </c>
      <c r="G105" s="88">
        <v>0</v>
      </c>
      <c r="H105" s="88">
        <v>35910</v>
      </c>
      <c r="I105" s="88">
        <v>45000</v>
      </c>
      <c r="J105" s="88">
        <v>0</v>
      </c>
      <c r="L105" s="80"/>
      <c r="M105" s="118"/>
    </row>
    <row r="106" spans="1:13">
      <c r="A106" s="87" t="s">
        <v>362</v>
      </c>
      <c r="B106" s="20" t="s">
        <v>361</v>
      </c>
      <c r="C106" s="92">
        <f t="shared" si="8"/>
        <v>41890</v>
      </c>
      <c r="D106" s="88">
        <v>0</v>
      </c>
      <c r="E106" s="88">
        <v>41890</v>
      </c>
      <c r="F106" s="88">
        <v>0</v>
      </c>
      <c r="G106" s="88">
        <v>0</v>
      </c>
      <c r="H106" s="88">
        <v>0</v>
      </c>
      <c r="I106" s="88">
        <v>0</v>
      </c>
      <c r="J106" s="88">
        <v>0</v>
      </c>
      <c r="L106" s="80"/>
      <c r="M106" s="118"/>
    </row>
    <row r="107" spans="1:13" s="7" customFormat="1">
      <c r="A107" s="67"/>
      <c r="B107" s="89" t="s">
        <v>300</v>
      </c>
      <c r="C107" s="72">
        <f t="shared" ref="C107:J107" si="9">SUM(C96:C106)</f>
        <v>733030</v>
      </c>
      <c r="D107" s="72">
        <f t="shared" si="9"/>
        <v>0</v>
      </c>
      <c r="E107" s="72">
        <f t="shared" si="9"/>
        <v>41890</v>
      </c>
      <c r="F107" s="72">
        <f t="shared" si="9"/>
        <v>4380</v>
      </c>
      <c r="G107" s="72">
        <f t="shared" si="9"/>
        <v>4130</v>
      </c>
      <c r="H107" s="72">
        <f t="shared" si="9"/>
        <v>35910</v>
      </c>
      <c r="I107" s="72">
        <f t="shared" si="9"/>
        <v>646720</v>
      </c>
      <c r="J107" s="72">
        <f t="shared" si="9"/>
        <v>0</v>
      </c>
      <c r="L107" s="80"/>
      <c r="M107" s="121"/>
    </row>
    <row r="108" spans="1:13">
      <c r="L108" s="80"/>
      <c r="M108" s="118"/>
    </row>
    <row r="109" spans="1:13" s="9" customFormat="1" ht="12">
      <c r="A109" s="71" t="s">
        <v>69</v>
      </c>
      <c r="B109" s="71" t="s">
        <v>375</v>
      </c>
      <c r="C109" s="71" t="s">
        <v>239</v>
      </c>
      <c r="D109" s="71" t="s">
        <v>394</v>
      </c>
      <c r="E109" s="71" t="s">
        <v>395</v>
      </c>
      <c r="F109" s="71" t="s">
        <v>396</v>
      </c>
      <c r="G109" s="71" t="s">
        <v>399</v>
      </c>
      <c r="H109" s="71" t="s">
        <v>400</v>
      </c>
      <c r="I109" s="71" t="s">
        <v>397</v>
      </c>
      <c r="J109" s="71" t="s">
        <v>398</v>
      </c>
      <c r="M109" s="116"/>
    </row>
    <row r="110" spans="1:13" s="80" customFormat="1">
      <c r="A110" s="9"/>
      <c r="D110" s="80">
        <v>311</v>
      </c>
      <c r="E110" s="80">
        <v>321</v>
      </c>
      <c r="F110" s="80">
        <v>331</v>
      </c>
      <c r="G110" s="80">
        <v>341</v>
      </c>
      <c r="H110" s="80">
        <v>351</v>
      </c>
      <c r="I110" s="80">
        <v>361</v>
      </c>
      <c r="J110" s="80">
        <v>391</v>
      </c>
      <c r="M110" s="119"/>
    </row>
    <row r="111" spans="1:13" s="10" customFormat="1">
      <c r="A111" s="90" t="s">
        <v>366</v>
      </c>
      <c r="B111" s="91" t="s">
        <v>364</v>
      </c>
      <c r="C111" s="92">
        <f>SUM(D111:J111)</f>
        <v>833650</v>
      </c>
      <c r="D111" s="92">
        <f>+D112</f>
        <v>833650</v>
      </c>
      <c r="E111" s="92">
        <f t="shared" ref="E111:J111" si="10">+E112</f>
        <v>0</v>
      </c>
      <c r="F111" s="92">
        <f t="shared" si="10"/>
        <v>0</v>
      </c>
      <c r="G111" s="92">
        <f t="shared" si="10"/>
        <v>0</v>
      </c>
      <c r="H111" s="92">
        <f t="shared" si="10"/>
        <v>0</v>
      </c>
      <c r="I111" s="92">
        <f t="shared" si="10"/>
        <v>0</v>
      </c>
      <c r="J111" s="92">
        <f t="shared" si="10"/>
        <v>0</v>
      </c>
      <c r="M111" s="122"/>
    </row>
    <row r="112" spans="1:13">
      <c r="A112" s="87" t="s">
        <v>363</v>
      </c>
      <c r="B112" s="20" t="s">
        <v>365</v>
      </c>
      <c r="C112" s="84">
        <f>SUM(D112:J112)</f>
        <v>833650</v>
      </c>
      <c r="D112" s="88">
        <v>833650</v>
      </c>
      <c r="E112" s="88">
        <v>0</v>
      </c>
      <c r="F112" s="88">
        <v>0</v>
      </c>
      <c r="G112" s="88">
        <v>0</v>
      </c>
      <c r="H112" s="88">
        <v>0</v>
      </c>
      <c r="I112" s="88">
        <v>0</v>
      </c>
      <c r="J112" s="88">
        <v>0</v>
      </c>
    </row>
    <row r="113" spans="1:15" s="10" customFormat="1">
      <c r="A113" s="90" t="s">
        <v>367</v>
      </c>
      <c r="B113" s="91" t="s">
        <v>369</v>
      </c>
      <c r="C113" s="84">
        <f t="shared" ref="C113:C123" si="11">SUM(D113:J113)</f>
        <v>0</v>
      </c>
      <c r="D113" s="92">
        <f>+D114</f>
        <v>0</v>
      </c>
      <c r="E113" s="92">
        <f t="shared" ref="E113:J113" si="12">+E114</f>
        <v>0</v>
      </c>
      <c r="F113" s="92">
        <f t="shared" si="12"/>
        <v>0</v>
      </c>
      <c r="G113" s="92">
        <f t="shared" si="12"/>
        <v>0</v>
      </c>
      <c r="H113" s="92">
        <f t="shared" si="12"/>
        <v>0</v>
      </c>
      <c r="I113" s="92">
        <f t="shared" si="12"/>
        <v>0</v>
      </c>
      <c r="J113" s="92">
        <f t="shared" si="12"/>
        <v>0</v>
      </c>
    </row>
    <row r="114" spans="1:15">
      <c r="A114" s="87" t="s">
        <v>368</v>
      </c>
      <c r="B114" s="20" t="s">
        <v>370</v>
      </c>
      <c r="C114" s="84">
        <f t="shared" si="11"/>
        <v>0</v>
      </c>
      <c r="D114" s="88"/>
      <c r="E114" s="88">
        <v>0</v>
      </c>
      <c r="F114" s="88">
        <v>0</v>
      </c>
      <c r="G114" s="88">
        <v>0</v>
      </c>
      <c r="H114" s="88">
        <v>0</v>
      </c>
      <c r="I114" s="88">
        <v>0</v>
      </c>
      <c r="J114" s="88">
        <v>0</v>
      </c>
    </row>
    <row r="115" spans="1:15" s="10" customFormat="1">
      <c r="A115" s="90" t="s">
        <v>386</v>
      </c>
      <c r="B115" s="91" t="s">
        <v>387</v>
      </c>
      <c r="C115" s="84">
        <f t="shared" si="11"/>
        <v>0</v>
      </c>
      <c r="D115" s="92">
        <f>+D116</f>
        <v>0</v>
      </c>
      <c r="E115" s="92">
        <f t="shared" ref="E115:J115" si="13">+E116</f>
        <v>0</v>
      </c>
      <c r="F115" s="92">
        <f t="shared" si="13"/>
        <v>0</v>
      </c>
      <c r="G115" s="92">
        <f t="shared" si="13"/>
        <v>0</v>
      </c>
      <c r="H115" s="92">
        <f t="shared" si="13"/>
        <v>0</v>
      </c>
      <c r="I115" s="92">
        <f t="shared" si="13"/>
        <v>0</v>
      </c>
      <c r="J115" s="92">
        <f t="shared" si="13"/>
        <v>0</v>
      </c>
    </row>
    <row r="116" spans="1:15">
      <c r="A116" s="87" t="s">
        <v>386</v>
      </c>
      <c r="B116" s="20" t="s">
        <v>388</v>
      </c>
      <c r="C116" s="84">
        <f t="shared" si="11"/>
        <v>0</v>
      </c>
      <c r="D116" s="88">
        <v>0</v>
      </c>
      <c r="E116" s="88">
        <v>0</v>
      </c>
      <c r="F116" s="88">
        <v>0</v>
      </c>
      <c r="G116" s="88">
        <v>0</v>
      </c>
      <c r="H116" s="88">
        <v>0</v>
      </c>
      <c r="I116" s="88">
        <v>0</v>
      </c>
      <c r="J116" s="88">
        <v>0</v>
      </c>
    </row>
    <row r="117" spans="1:15" s="10" customFormat="1">
      <c r="A117" s="90" t="s">
        <v>371</v>
      </c>
      <c r="B117" s="91" t="s">
        <v>372</v>
      </c>
      <c r="C117" s="84">
        <f t="shared" si="11"/>
        <v>0</v>
      </c>
      <c r="D117" s="92">
        <f>+D118</f>
        <v>0</v>
      </c>
      <c r="E117" s="92">
        <f t="shared" ref="E117:J117" si="14">+E118</f>
        <v>0</v>
      </c>
      <c r="F117" s="92">
        <f t="shared" si="14"/>
        <v>0</v>
      </c>
      <c r="G117" s="92">
        <f t="shared" si="14"/>
        <v>0</v>
      </c>
      <c r="H117" s="92">
        <f t="shared" si="14"/>
        <v>0</v>
      </c>
      <c r="I117" s="92">
        <f t="shared" si="14"/>
        <v>0</v>
      </c>
      <c r="J117" s="92">
        <f t="shared" si="14"/>
        <v>0</v>
      </c>
    </row>
    <row r="118" spans="1:15">
      <c r="A118" s="87" t="s">
        <v>374</v>
      </c>
      <c r="B118" s="20" t="s">
        <v>373</v>
      </c>
      <c r="C118" s="84">
        <f t="shared" si="11"/>
        <v>0</v>
      </c>
      <c r="D118" s="88">
        <v>0</v>
      </c>
      <c r="E118" s="88">
        <v>0</v>
      </c>
      <c r="F118" s="88">
        <v>0</v>
      </c>
      <c r="G118" s="88">
        <v>0</v>
      </c>
      <c r="H118" s="88">
        <v>0</v>
      </c>
      <c r="I118" s="88">
        <v>0</v>
      </c>
      <c r="J118" s="88">
        <v>0</v>
      </c>
    </row>
    <row r="119" spans="1:15" s="10" customFormat="1">
      <c r="A119" s="90" t="s">
        <v>376</v>
      </c>
      <c r="B119" s="91" t="s">
        <v>377</v>
      </c>
      <c r="C119" s="84">
        <f t="shared" si="11"/>
        <v>0</v>
      </c>
      <c r="D119" s="92">
        <f>+D120</f>
        <v>0</v>
      </c>
      <c r="E119" s="92">
        <f t="shared" ref="E119:J119" si="15">+E120</f>
        <v>0</v>
      </c>
      <c r="F119" s="92">
        <f t="shared" si="15"/>
        <v>0</v>
      </c>
      <c r="G119" s="92">
        <f t="shared" si="15"/>
        <v>0</v>
      </c>
      <c r="H119" s="92">
        <f t="shared" si="15"/>
        <v>0</v>
      </c>
      <c r="I119" s="92">
        <f t="shared" si="15"/>
        <v>0</v>
      </c>
      <c r="J119" s="92">
        <f t="shared" si="15"/>
        <v>0</v>
      </c>
      <c r="O119" s="86"/>
    </row>
    <row r="120" spans="1:15">
      <c r="A120" s="87" t="s">
        <v>378</v>
      </c>
      <c r="B120" s="20" t="s">
        <v>379</v>
      </c>
      <c r="C120" s="84">
        <f t="shared" si="11"/>
        <v>0</v>
      </c>
      <c r="D120" s="88">
        <v>0</v>
      </c>
      <c r="E120" s="88">
        <v>0</v>
      </c>
      <c r="F120" s="88">
        <v>0</v>
      </c>
      <c r="G120" s="88">
        <v>0</v>
      </c>
      <c r="H120" s="88">
        <v>0</v>
      </c>
      <c r="I120" s="88">
        <v>0</v>
      </c>
      <c r="J120" s="88">
        <v>0</v>
      </c>
    </row>
    <row r="121" spans="1:15" s="10" customFormat="1">
      <c r="A121" s="90" t="s">
        <v>380</v>
      </c>
      <c r="B121" s="91" t="s">
        <v>381</v>
      </c>
      <c r="C121" s="92">
        <f t="shared" si="11"/>
        <v>44552280</v>
      </c>
      <c r="D121" s="92">
        <f>SUM(D122:D123)</f>
        <v>44552280</v>
      </c>
      <c r="E121" s="92">
        <f t="shared" ref="E121:J121" si="16">SUM(E122:E123)</f>
        <v>0</v>
      </c>
      <c r="F121" s="92">
        <f t="shared" si="16"/>
        <v>0</v>
      </c>
      <c r="G121" s="92">
        <f t="shared" si="16"/>
        <v>0</v>
      </c>
      <c r="H121" s="92">
        <f t="shared" si="16"/>
        <v>0</v>
      </c>
      <c r="I121" s="92">
        <f t="shared" si="16"/>
        <v>0</v>
      </c>
      <c r="J121" s="92">
        <f t="shared" si="16"/>
        <v>0</v>
      </c>
    </row>
    <row r="122" spans="1:15">
      <c r="A122" s="87" t="s">
        <v>382</v>
      </c>
      <c r="B122" s="20" t="s">
        <v>384</v>
      </c>
      <c r="C122" s="84">
        <f t="shared" si="11"/>
        <v>2230590</v>
      </c>
      <c r="D122" s="88">
        <v>2230590</v>
      </c>
      <c r="E122" s="88">
        <v>0</v>
      </c>
      <c r="F122" s="88">
        <v>0</v>
      </c>
      <c r="G122" s="88">
        <v>0</v>
      </c>
      <c r="H122" s="88">
        <v>0</v>
      </c>
      <c r="I122" s="88">
        <v>0</v>
      </c>
      <c r="J122" s="88">
        <v>0</v>
      </c>
    </row>
    <row r="123" spans="1:15">
      <c r="A123" s="87" t="s">
        <v>383</v>
      </c>
      <c r="B123" s="20" t="s">
        <v>385</v>
      </c>
      <c r="C123" s="84">
        <f t="shared" si="11"/>
        <v>42321690</v>
      </c>
      <c r="D123" s="88">
        <v>42321690</v>
      </c>
      <c r="E123" s="88">
        <v>0</v>
      </c>
      <c r="F123" s="88">
        <v>0</v>
      </c>
      <c r="G123" s="88">
        <v>0</v>
      </c>
      <c r="H123" s="88">
        <v>0</v>
      </c>
      <c r="I123" s="88">
        <v>0</v>
      </c>
      <c r="J123" s="88">
        <v>0</v>
      </c>
    </row>
    <row r="124" spans="1:15" s="7" customFormat="1">
      <c r="A124" s="67"/>
      <c r="B124" s="89" t="s">
        <v>300</v>
      </c>
      <c r="C124" s="72">
        <f>+C111+C113+C115+C117+C119+C121</f>
        <v>45385930</v>
      </c>
      <c r="D124" s="72">
        <f t="shared" ref="D124:J124" si="17">+D111+D113+D115+D117+D119+D121</f>
        <v>45385930</v>
      </c>
      <c r="E124" s="72">
        <f t="shared" si="17"/>
        <v>0</v>
      </c>
      <c r="F124" s="72">
        <f t="shared" si="17"/>
        <v>0</v>
      </c>
      <c r="G124" s="72">
        <f t="shared" si="17"/>
        <v>0</v>
      </c>
      <c r="H124" s="72">
        <f t="shared" si="17"/>
        <v>0</v>
      </c>
      <c r="I124" s="72">
        <f t="shared" si="17"/>
        <v>0</v>
      </c>
      <c r="J124" s="72">
        <f t="shared" si="17"/>
        <v>0</v>
      </c>
    </row>
    <row r="125" spans="1:15">
      <c r="A125" s="67"/>
      <c r="B125" s="89" t="s">
        <v>393</v>
      </c>
      <c r="C125" s="72">
        <f>+C28+C46+C66+C92+C107+C124</f>
        <v>101299800</v>
      </c>
      <c r="D125" s="72">
        <f t="shared" ref="D125:J125" si="18">+D28+D46+D66+D92+D107+D124</f>
        <v>49082170</v>
      </c>
      <c r="E125" s="72">
        <f t="shared" si="18"/>
        <v>3018140</v>
      </c>
      <c r="F125" s="72">
        <f t="shared" si="18"/>
        <v>13110890</v>
      </c>
      <c r="G125" s="72">
        <f t="shared" si="18"/>
        <v>3133070</v>
      </c>
      <c r="H125" s="72">
        <f t="shared" si="18"/>
        <v>13676770</v>
      </c>
      <c r="I125" s="72">
        <f t="shared" si="18"/>
        <v>19278760</v>
      </c>
      <c r="J125" s="72">
        <f t="shared" si="18"/>
        <v>0</v>
      </c>
    </row>
  </sheetData>
  <mergeCells count="3">
    <mergeCell ref="A10:J10"/>
    <mergeCell ref="A9:J9"/>
    <mergeCell ref="A8:J8"/>
  </mergeCells>
  <printOptions horizontalCentered="1"/>
  <pageMargins left="0" right="0" top="0.48" bottom="0.55118110236220474" header="0.31496062992125984" footer="0.19685039370078741"/>
  <pageSetup paperSize="9" scale="65" orientation="landscape" r:id="rId1"/>
  <rowBreaks count="2" manualBreakCount="2">
    <brk id="46" max="16383" man="1"/>
    <brk id="92" max="16383" man="1"/>
  </rowBreaks>
  <drawing r:id="rId2"/>
</worksheet>
</file>

<file path=xl/worksheets/sheet15.xml><?xml version="1.0" encoding="utf-8"?>
<worksheet xmlns="http://schemas.openxmlformats.org/spreadsheetml/2006/main" xmlns:r="http://schemas.openxmlformats.org/officeDocument/2006/relationships">
  <dimension ref="A1:L29"/>
  <sheetViews>
    <sheetView topLeftCell="A4" workbookViewId="0">
      <selection activeCell="A7" sqref="A7"/>
    </sheetView>
  </sheetViews>
  <sheetFormatPr baseColWidth="10" defaultRowHeight="15"/>
  <cols>
    <col min="1" max="1" width="32.5703125" customWidth="1"/>
    <col min="2" max="2" width="11.7109375" customWidth="1"/>
    <col min="3" max="3" width="10" bestFit="1" customWidth="1"/>
    <col min="4" max="4" width="12" bestFit="1" customWidth="1"/>
    <col min="5" max="5" width="11.85546875" bestFit="1" customWidth="1"/>
    <col min="6" max="6" width="11" bestFit="1" customWidth="1"/>
    <col min="7" max="7" width="10" bestFit="1" customWidth="1"/>
    <col min="8" max="8" width="11" bestFit="1" customWidth="1"/>
    <col min="9" max="9" width="10" bestFit="1" customWidth="1"/>
    <col min="10" max="10" width="12.85546875" bestFit="1" customWidth="1"/>
  </cols>
  <sheetData>
    <row r="1" spans="1:12" s="1" customFormat="1">
      <c r="A1"/>
    </row>
    <row r="2" spans="1:12" s="1" customFormat="1" ht="12.75"/>
    <row r="3" spans="1:12" s="1" customFormat="1" ht="12.75"/>
    <row r="4" spans="1:12" s="1" customFormat="1" ht="12.75"/>
    <row r="5" spans="1:12" s="1" customFormat="1" ht="13.5" thickBot="1">
      <c r="A5" s="6"/>
      <c r="B5" s="6"/>
      <c r="C5" s="6"/>
      <c r="D5" s="6"/>
      <c r="E5" s="6"/>
      <c r="F5" s="6"/>
      <c r="G5" s="6"/>
      <c r="H5" s="6"/>
      <c r="I5" s="6"/>
      <c r="J5" s="6"/>
    </row>
    <row r="6" spans="1:12" ht="15.75" thickTop="1"/>
    <row r="7" spans="1:12" s="20" customFormat="1" ht="12.75">
      <c r="A7" s="20" t="s">
        <v>867</v>
      </c>
    </row>
    <row r="8" spans="1:12">
      <c r="A8" s="390" t="s">
        <v>747</v>
      </c>
      <c r="B8" s="390"/>
      <c r="C8" s="390"/>
      <c r="D8" s="390"/>
      <c r="E8" s="390"/>
      <c r="F8" s="390"/>
      <c r="G8" s="390"/>
      <c r="H8" s="390"/>
      <c r="I8" s="390"/>
      <c r="J8" s="390"/>
    </row>
    <row r="9" spans="1:12">
      <c r="A9" s="390" t="s">
        <v>238</v>
      </c>
      <c r="B9" s="390"/>
      <c r="C9" s="390"/>
      <c r="D9" s="390"/>
      <c r="E9" s="390"/>
      <c r="F9" s="390"/>
      <c r="G9" s="390"/>
      <c r="H9" s="390"/>
      <c r="I9" s="390"/>
      <c r="J9" s="390"/>
    </row>
    <row r="10" spans="1:12">
      <c r="A10" s="391" t="s">
        <v>700</v>
      </c>
      <c r="B10" s="391"/>
      <c r="C10" s="391"/>
      <c r="D10" s="391"/>
      <c r="E10" s="391"/>
      <c r="F10" s="391"/>
      <c r="G10" s="391"/>
      <c r="H10" s="391"/>
      <c r="I10" s="391"/>
      <c r="J10" s="391"/>
    </row>
    <row r="12" spans="1:12" s="9" customFormat="1" ht="12">
      <c r="A12" s="71" t="s">
        <v>3</v>
      </c>
      <c r="B12" s="71" t="s">
        <v>239</v>
      </c>
      <c r="C12" s="71" t="s">
        <v>394</v>
      </c>
      <c r="D12" s="71" t="s">
        <v>401</v>
      </c>
      <c r="E12" s="71" t="s">
        <v>406</v>
      </c>
      <c r="F12" s="71" t="s">
        <v>408</v>
      </c>
      <c r="G12" s="71" t="s">
        <v>409</v>
      </c>
      <c r="H12" s="71" t="s">
        <v>410</v>
      </c>
      <c r="I12" s="71" t="s">
        <v>411</v>
      </c>
      <c r="J12" s="71" t="s">
        <v>412</v>
      </c>
    </row>
    <row r="13" spans="1:12">
      <c r="B13" s="80"/>
      <c r="C13" s="80">
        <v>411</v>
      </c>
      <c r="D13" s="80">
        <v>421</v>
      </c>
      <c r="E13" s="80">
        <v>431</v>
      </c>
      <c r="F13" s="80">
        <v>441</v>
      </c>
      <c r="G13" s="80">
        <v>451</v>
      </c>
      <c r="H13" s="80">
        <v>461</v>
      </c>
      <c r="I13" s="80">
        <v>471</v>
      </c>
      <c r="J13" s="80">
        <v>481</v>
      </c>
    </row>
    <row r="14" spans="1:12" s="7" customFormat="1">
      <c r="A14" s="67" t="s">
        <v>245</v>
      </c>
      <c r="B14" s="72">
        <f>SUM(B15:B19)</f>
        <v>227497880</v>
      </c>
      <c r="C14" s="72">
        <f t="shared" ref="C14:J14" si="0">SUM(C15:C19)</f>
        <v>2656140</v>
      </c>
      <c r="D14" s="72">
        <f t="shared" si="0"/>
        <v>52484360</v>
      </c>
      <c r="E14" s="72">
        <f t="shared" si="0"/>
        <v>4051970</v>
      </c>
      <c r="F14" s="72">
        <f t="shared" si="0"/>
        <v>55019900</v>
      </c>
      <c r="G14" s="72">
        <f t="shared" si="0"/>
        <v>7267230</v>
      </c>
      <c r="H14" s="72">
        <f t="shared" si="0"/>
        <v>78929650</v>
      </c>
      <c r="I14" s="72">
        <f t="shared" si="0"/>
        <v>6696930</v>
      </c>
      <c r="J14" s="72">
        <f t="shared" si="0"/>
        <v>20391700</v>
      </c>
    </row>
    <row r="15" spans="1:12">
      <c r="A15" s="7" t="s">
        <v>246</v>
      </c>
      <c r="B15" s="70">
        <f>SUM(C15:J15)</f>
        <v>116057150</v>
      </c>
      <c r="C15" s="76">
        <f>+'OBRAS A'!C16</f>
        <v>1527780</v>
      </c>
      <c r="D15" s="76">
        <f>+'OBRAS A'!D16</f>
        <v>22252950</v>
      </c>
      <c r="E15" s="76">
        <f>+'OBRAS A'!E16</f>
        <v>3345340</v>
      </c>
      <c r="F15" s="76">
        <f>+'OBRAS A'!F16</f>
        <v>30855680</v>
      </c>
      <c r="G15" s="76">
        <f>+'OBRAS A'!G16</f>
        <v>6917490</v>
      </c>
      <c r="H15" s="76">
        <f>+'OBRAS A'!H16</f>
        <v>41767700</v>
      </c>
      <c r="I15" s="76">
        <f>+'OBRAS A'!I16</f>
        <v>2510080</v>
      </c>
      <c r="J15" s="76">
        <f>+'OBRAS A'!J16</f>
        <v>6880130</v>
      </c>
      <c r="L15" s="94"/>
    </row>
    <row r="16" spans="1:12">
      <c r="A16" s="7" t="s">
        <v>247</v>
      </c>
      <c r="B16" s="70">
        <f>SUM(C16:J16)</f>
        <v>19626690</v>
      </c>
      <c r="C16" s="76">
        <f>+'OBRAS A'!C19</f>
        <v>114870</v>
      </c>
      <c r="D16" s="76">
        <f>+'OBRAS A'!D19</f>
        <v>8217110</v>
      </c>
      <c r="E16" s="76">
        <f>+'OBRAS A'!E19</f>
        <v>11370</v>
      </c>
      <c r="F16" s="76">
        <f>+'OBRAS A'!F19</f>
        <v>7677050</v>
      </c>
      <c r="G16" s="76">
        <f>+'OBRAS A'!G19</f>
        <v>45990</v>
      </c>
      <c r="H16" s="76">
        <f>+'OBRAS A'!H19</f>
        <v>2114080</v>
      </c>
      <c r="I16" s="76">
        <f>+'OBRAS A'!I19</f>
        <v>2330</v>
      </c>
      <c r="J16" s="76">
        <f>+'OBRAS A'!J19</f>
        <v>1443890</v>
      </c>
    </row>
    <row r="17" spans="1:10">
      <c r="A17" s="7" t="s">
        <v>248</v>
      </c>
      <c r="B17" s="70">
        <f>SUM(C17:J17)</f>
        <v>88633120</v>
      </c>
      <c r="C17" s="76">
        <f>+'OBRAS A'!C20</f>
        <v>1013490</v>
      </c>
      <c r="D17" s="76">
        <f>+'OBRAS A'!D20</f>
        <v>20518050</v>
      </c>
      <c r="E17" s="76">
        <f>+'OBRAS A'!E20</f>
        <v>695260</v>
      </c>
      <c r="F17" s="76">
        <f>+'OBRAS A'!F20</f>
        <v>16487170</v>
      </c>
      <c r="G17" s="76">
        <f>+'OBRAS A'!G20</f>
        <v>303750</v>
      </c>
      <c r="H17" s="76">
        <f>+'OBRAS A'!H20</f>
        <v>35047870</v>
      </c>
      <c r="I17" s="76">
        <f>+'OBRAS A'!I20</f>
        <v>2499850</v>
      </c>
      <c r="J17" s="76">
        <f>+'OBRAS A'!J20</f>
        <v>12067680</v>
      </c>
    </row>
    <row r="18" spans="1:10">
      <c r="A18" s="7" t="s">
        <v>249</v>
      </c>
      <c r="B18" s="70">
        <f>SUM(C18:J18)</f>
        <v>0</v>
      </c>
      <c r="C18" s="76">
        <f>+'OBRAS A'!C21</f>
        <v>0</v>
      </c>
      <c r="D18" s="76">
        <f>+'OBRAS A'!D21</f>
        <v>0</v>
      </c>
      <c r="E18" s="76">
        <f>+'OBRAS A'!E21</f>
        <v>0</v>
      </c>
      <c r="F18" s="76">
        <f>+'OBRAS A'!F21</f>
        <v>0</v>
      </c>
      <c r="G18" s="76">
        <f>+'OBRAS A'!G21</f>
        <v>0</v>
      </c>
      <c r="H18" s="76">
        <f>+'OBRAS A'!H21</f>
        <v>0</v>
      </c>
      <c r="I18" s="76">
        <f>+'OBRAS A'!I21</f>
        <v>0</v>
      </c>
      <c r="J18" s="76">
        <f>+'OBRAS A'!J21</f>
        <v>0</v>
      </c>
    </row>
    <row r="19" spans="1:10">
      <c r="A19" s="7" t="s">
        <v>250</v>
      </c>
      <c r="B19" s="70">
        <f>SUM(C19:J19)</f>
        <v>3180920</v>
      </c>
      <c r="C19" s="76">
        <f>+'OBRAS A'!C22</f>
        <v>0</v>
      </c>
      <c r="D19" s="76">
        <f>+'OBRAS A'!D22</f>
        <v>1496250</v>
      </c>
      <c r="E19" s="76">
        <f>+'OBRAS A'!E22</f>
        <v>0</v>
      </c>
      <c r="F19" s="76">
        <f>+'OBRAS A'!F22</f>
        <v>0</v>
      </c>
      <c r="G19" s="76">
        <f>+'OBRAS A'!G22</f>
        <v>0</v>
      </c>
      <c r="H19" s="76">
        <f>+'OBRAS A'!H22</f>
        <v>0</v>
      </c>
      <c r="I19" s="76">
        <f>+'OBRAS A'!I22</f>
        <v>1684670</v>
      </c>
      <c r="J19" s="76">
        <f>+'OBRAS A'!J22</f>
        <v>0</v>
      </c>
    </row>
    <row r="20" spans="1:10" s="7" customFormat="1">
      <c r="A20" s="67" t="s">
        <v>251</v>
      </c>
      <c r="B20" s="72">
        <f>SUM(B21:B24)</f>
        <v>146661240</v>
      </c>
      <c r="C20" s="72">
        <f t="shared" ref="C20:J20" si="1">SUM(C21:C24)</f>
        <v>1129190</v>
      </c>
      <c r="D20" s="72">
        <f t="shared" si="1"/>
        <v>140311810</v>
      </c>
      <c r="E20" s="72">
        <f t="shared" si="1"/>
        <v>0</v>
      </c>
      <c r="F20" s="72">
        <f t="shared" si="1"/>
        <v>631970</v>
      </c>
      <c r="G20" s="72">
        <f t="shared" si="1"/>
        <v>44660</v>
      </c>
      <c r="H20" s="72">
        <f t="shared" si="1"/>
        <v>1217410</v>
      </c>
      <c r="I20" s="72">
        <f t="shared" si="1"/>
        <v>2073730</v>
      </c>
      <c r="J20" s="72">
        <f t="shared" si="1"/>
        <v>1252470</v>
      </c>
    </row>
    <row r="21" spans="1:10">
      <c r="A21" s="7" t="s">
        <v>252</v>
      </c>
      <c r="B21" s="70">
        <f>SUM(C21:J21)</f>
        <v>5837680</v>
      </c>
      <c r="C21" s="76">
        <f>+'OBRAS A'!C25</f>
        <v>1129190</v>
      </c>
      <c r="D21" s="76">
        <f>+'OBRAS A'!D25</f>
        <v>1549480</v>
      </c>
      <c r="E21" s="76">
        <f>+'OBRAS A'!E25</f>
        <v>0</v>
      </c>
      <c r="F21" s="76">
        <f>+'OBRAS A'!F25</f>
        <v>631970</v>
      </c>
      <c r="G21" s="76">
        <f>+'OBRAS A'!G25</f>
        <v>44660</v>
      </c>
      <c r="H21" s="76">
        <f>+'OBRAS A'!H25</f>
        <v>1217410</v>
      </c>
      <c r="I21" s="76">
        <f>+'OBRAS A'!I25</f>
        <v>12500</v>
      </c>
      <c r="J21" s="76">
        <f>+'OBRAS A'!J25</f>
        <v>1252470</v>
      </c>
    </row>
    <row r="22" spans="1:10">
      <c r="A22" s="7" t="s">
        <v>253</v>
      </c>
      <c r="B22" s="70">
        <f>SUM(C22:J22)</f>
        <v>138762330</v>
      </c>
      <c r="C22" s="76">
        <f>+'OBRAS A'!C26</f>
        <v>0</v>
      </c>
      <c r="D22" s="76">
        <f>+'OBRAS A'!D26</f>
        <v>138762330</v>
      </c>
      <c r="E22" s="76">
        <f>+'OBRAS A'!E26</f>
        <v>0</v>
      </c>
      <c r="F22" s="76">
        <f>+'OBRAS A'!F26</f>
        <v>0</v>
      </c>
      <c r="G22" s="76">
        <f>+'OBRAS A'!G26</f>
        <v>0</v>
      </c>
      <c r="H22" s="76">
        <f>+'OBRAS A'!H26</f>
        <v>0</v>
      </c>
      <c r="I22" s="76">
        <f>+'OBRAS A'!I26</f>
        <v>0</v>
      </c>
      <c r="J22" s="76">
        <f>+'OBRAS A'!J26</f>
        <v>0</v>
      </c>
    </row>
    <row r="23" spans="1:10">
      <c r="A23" s="7" t="s">
        <v>254</v>
      </c>
      <c r="B23" s="70">
        <f>SUM(C23:J23)</f>
        <v>2061230</v>
      </c>
      <c r="C23" s="76">
        <f>+'OBRAS A'!C27</f>
        <v>0</v>
      </c>
      <c r="D23" s="76">
        <f>+'OBRAS A'!D27</f>
        <v>0</v>
      </c>
      <c r="E23" s="76">
        <f>+'OBRAS A'!E27</f>
        <v>0</v>
      </c>
      <c r="F23" s="76">
        <f>+'OBRAS A'!F27</f>
        <v>0</v>
      </c>
      <c r="G23" s="76">
        <f>+'OBRAS A'!G27</f>
        <v>0</v>
      </c>
      <c r="H23" s="76">
        <f>+'OBRAS A'!H27</f>
        <v>0</v>
      </c>
      <c r="I23" s="76">
        <f>+'OBRAS A'!I27</f>
        <v>2061230</v>
      </c>
      <c r="J23" s="76">
        <f>+'OBRAS A'!J27</f>
        <v>0</v>
      </c>
    </row>
    <row r="24" spans="1:10">
      <c r="A24" s="7" t="s">
        <v>255</v>
      </c>
      <c r="B24" s="70">
        <f>SUM(C24:J24)</f>
        <v>0</v>
      </c>
      <c r="C24" s="76">
        <f>+'OBRAS A'!C28</f>
        <v>0</v>
      </c>
      <c r="D24" s="76">
        <f>+'OBRAS A'!D28</f>
        <v>0</v>
      </c>
      <c r="E24" s="76">
        <f>+'OBRAS A'!E28</f>
        <v>0</v>
      </c>
      <c r="F24" s="76">
        <f>+'OBRAS A'!F28</f>
        <v>0</v>
      </c>
      <c r="G24" s="76">
        <f>+'OBRAS A'!G28</f>
        <v>0</v>
      </c>
      <c r="H24" s="76">
        <f>+'OBRAS A'!H28</f>
        <v>0</v>
      </c>
      <c r="I24" s="76">
        <f>+'OBRAS A'!I28</f>
        <v>0</v>
      </c>
      <c r="J24" s="76">
        <f>+'OBRAS A'!J28</f>
        <v>0</v>
      </c>
    </row>
    <row r="25" spans="1:10" s="7" customFormat="1">
      <c r="A25" s="67" t="s">
        <v>45</v>
      </c>
      <c r="B25" s="72">
        <f>+B26</f>
        <v>0</v>
      </c>
      <c r="C25" s="72">
        <f>+C26</f>
        <v>0</v>
      </c>
      <c r="D25" s="72">
        <f t="shared" ref="D25:J25" si="2">+D26</f>
        <v>0</v>
      </c>
      <c r="E25" s="72">
        <f t="shared" si="2"/>
        <v>0</v>
      </c>
      <c r="F25" s="72">
        <f t="shared" si="2"/>
        <v>0</v>
      </c>
      <c r="G25" s="72">
        <f t="shared" si="2"/>
        <v>0</v>
      </c>
      <c r="H25" s="72">
        <f t="shared" si="2"/>
        <v>0</v>
      </c>
      <c r="I25" s="72">
        <f t="shared" si="2"/>
        <v>0</v>
      </c>
      <c r="J25" s="72">
        <f t="shared" si="2"/>
        <v>0</v>
      </c>
    </row>
    <row r="26" spans="1:10">
      <c r="A26" t="s">
        <v>256</v>
      </c>
      <c r="B26" s="70">
        <f>SUM(C26:J26)</f>
        <v>0</v>
      </c>
      <c r="C26" s="76">
        <f>+'OBRAS A'!C30</f>
        <v>0</v>
      </c>
      <c r="D26" s="76">
        <f>+'OBRAS A'!D30</f>
        <v>0</v>
      </c>
      <c r="E26" s="76">
        <f>+'OBRAS A'!E30</f>
        <v>0</v>
      </c>
      <c r="F26" s="76">
        <f>+'OBRAS A'!F30</f>
        <v>0</v>
      </c>
      <c r="G26" s="76">
        <f>+'OBRAS A'!G30</f>
        <v>0</v>
      </c>
      <c r="H26" s="76">
        <f>+'OBRAS A'!H30</f>
        <v>0</v>
      </c>
      <c r="I26" s="76">
        <f>+'OBRAS A'!I30</f>
        <v>0</v>
      </c>
      <c r="J26" s="76">
        <f>+'OBRAS A'!J30</f>
        <v>0</v>
      </c>
    </row>
    <row r="27" spans="1:10" s="7" customFormat="1">
      <c r="A27" s="69" t="s">
        <v>48</v>
      </c>
      <c r="B27" s="72">
        <f t="shared" ref="B27:J27" si="3">+B14+B20+B25</f>
        <v>374159120</v>
      </c>
      <c r="C27" s="72">
        <f t="shared" si="3"/>
        <v>3785330</v>
      </c>
      <c r="D27" s="72">
        <f t="shared" si="3"/>
        <v>192796170</v>
      </c>
      <c r="E27" s="72">
        <f t="shared" si="3"/>
        <v>4051970</v>
      </c>
      <c r="F27" s="72">
        <f t="shared" si="3"/>
        <v>55651870</v>
      </c>
      <c r="G27" s="72">
        <f t="shared" si="3"/>
        <v>7311890</v>
      </c>
      <c r="H27" s="72">
        <f t="shared" si="3"/>
        <v>80147060</v>
      </c>
      <c r="I27" s="72">
        <f t="shared" si="3"/>
        <v>8770660</v>
      </c>
      <c r="J27" s="72">
        <f t="shared" si="3"/>
        <v>21644170</v>
      </c>
    </row>
    <row r="28" spans="1:10">
      <c r="C28" s="385">
        <f>+C27/$B$27</f>
        <v>1.0116898927921362E-2</v>
      </c>
      <c r="D28" s="385">
        <f t="shared" ref="D28:J28" si="4">+D27/$B$27</f>
        <v>0.51527855314605187</v>
      </c>
      <c r="E28" s="385">
        <f t="shared" si="4"/>
        <v>1.0829536909323499E-2</v>
      </c>
      <c r="F28" s="385">
        <f t="shared" si="4"/>
        <v>0.14873850996869994</v>
      </c>
      <c r="G28" s="385">
        <f t="shared" si="4"/>
        <v>1.9542193706249898E-2</v>
      </c>
      <c r="H28" s="385">
        <f t="shared" si="4"/>
        <v>0.21420581703313821</v>
      </c>
      <c r="I28" s="385">
        <f t="shared" si="4"/>
        <v>2.3440989491315886E-2</v>
      </c>
      <c r="J28" s="385">
        <f t="shared" si="4"/>
        <v>5.7847500817299335E-2</v>
      </c>
    </row>
    <row r="29" spans="1:10">
      <c r="B29" s="94"/>
    </row>
  </sheetData>
  <mergeCells count="3">
    <mergeCell ref="A8:J8"/>
    <mergeCell ref="A9:J9"/>
    <mergeCell ref="A10:J10"/>
  </mergeCells>
  <printOptions horizontalCentered="1"/>
  <pageMargins left="0" right="0" top="0.56000000000000005" bottom="0.74803149606299213" header="0.31496062992125984" footer="0.31496062992125984"/>
  <pageSetup paperSize="9" scale="96" orientation="landscape" r:id="rId1"/>
  <drawing r:id="rId2"/>
</worksheet>
</file>

<file path=xl/worksheets/sheet16.xml><?xml version="1.0" encoding="utf-8"?>
<worksheet xmlns="http://schemas.openxmlformats.org/spreadsheetml/2006/main" xmlns:r="http://schemas.openxmlformats.org/officeDocument/2006/relationships">
  <dimension ref="A1:L33"/>
  <sheetViews>
    <sheetView workbookViewId="0">
      <selection activeCell="A7" sqref="A7"/>
    </sheetView>
  </sheetViews>
  <sheetFormatPr baseColWidth="10" defaultRowHeight="15"/>
  <cols>
    <col min="1" max="1" width="32.5703125" customWidth="1"/>
    <col min="2" max="2" width="12.5703125" bestFit="1" customWidth="1"/>
    <col min="3" max="3" width="10.5703125" bestFit="1" customWidth="1"/>
    <col min="4" max="4" width="12" bestFit="1" customWidth="1"/>
    <col min="5" max="5" width="11.85546875" bestFit="1" customWidth="1"/>
    <col min="6" max="6" width="11.5703125" bestFit="1" customWidth="1"/>
    <col min="7" max="7" width="10.5703125" bestFit="1" customWidth="1"/>
    <col min="8" max="8" width="11.5703125" bestFit="1" customWidth="1"/>
    <col min="9" max="9" width="10.5703125" bestFit="1" customWidth="1"/>
    <col min="10" max="10" width="12.85546875" bestFit="1" customWidth="1"/>
  </cols>
  <sheetData>
    <row r="1" spans="1:10" s="1" customFormat="1">
      <c r="A1"/>
    </row>
    <row r="2" spans="1:10" s="1" customFormat="1" ht="12.75"/>
    <row r="3" spans="1:10" s="1" customFormat="1" ht="12.75"/>
    <row r="4" spans="1:10" s="1" customFormat="1" ht="12.75"/>
    <row r="5" spans="1:10" s="1" customFormat="1" ht="13.5" thickBot="1">
      <c r="A5" s="6"/>
      <c r="B5" s="6"/>
      <c r="C5" s="6"/>
      <c r="D5" s="6"/>
      <c r="E5" s="6"/>
      <c r="F5" s="6"/>
      <c r="G5" s="6"/>
      <c r="H5" s="6"/>
      <c r="I5" s="6"/>
      <c r="J5" s="6"/>
    </row>
    <row r="6" spans="1:10" ht="15.75" thickTop="1"/>
    <row r="7" spans="1:10" s="20" customFormat="1" ht="12.75">
      <c r="A7" s="20" t="s">
        <v>867</v>
      </c>
    </row>
    <row r="8" spans="1:10">
      <c r="A8" s="390" t="s">
        <v>747</v>
      </c>
      <c r="B8" s="390"/>
      <c r="C8" s="390"/>
      <c r="D8" s="390"/>
      <c r="E8" s="390"/>
      <c r="F8" s="390"/>
      <c r="G8" s="390"/>
      <c r="H8" s="390"/>
      <c r="I8" s="390"/>
      <c r="J8" s="390"/>
    </row>
    <row r="9" spans="1:10">
      <c r="A9" s="390" t="s">
        <v>238</v>
      </c>
      <c r="B9" s="390"/>
      <c r="C9" s="390"/>
      <c r="D9" s="390"/>
      <c r="E9" s="390"/>
      <c r="F9" s="390"/>
      <c r="G9" s="390"/>
      <c r="H9" s="390"/>
      <c r="I9" s="390"/>
      <c r="J9" s="390"/>
    </row>
    <row r="10" spans="1:10">
      <c r="A10" s="391" t="s">
        <v>700</v>
      </c>
      <c r="B10" s="391"/>
      <c r="C10" s="391"/>
      <c r="D10" s="391"/>
      <c r="E10" s="391"/>
      <c r="F10" s="391"/>
      <c r="G10" s="391"/>
      <c r="H10" s="391"/>
      <c r="I10" s="391"/>
      <c r="J10" s="248"/>
    </row>
    <row r="12" spans="1:10" s="9" customFormat="1" ht="12">
      <c r="A12" s="71" t="s">
        <v>3</v>
      </c>
      <c r="B12" s="71" t="s">
        <v>239</v>
      </c>
      <c r="C12" s="71" t="s">
        <v>394</v>
      </c>
      <c r="D12" s="71" t="s">
        <v>401</v>
      </c>
      <c r="E12" s="71" t="s">
        <v>406</v>
      </c>
      <c r="F12" s="71" t="s">
        <v>408</v>
      </c>
      <c r="G12" s="71" t="s">
        <v>416</v>
      </c>
      <c r="H12" s="71" t="s">
        <v>410</v>
      </c>
      <c r="I12" s="71" t="s">
        <v>411</v>
      </c>
      <c r="J12" s="71" t="s">
        <v>412</v>
      </c>
    </row>
    <row r="13" spans="1:10">
      <c r="B13" s="80"/>
      <c r="C13" s="80">
        <v>411</v>
      </c>
      <c r="D13" s="80">
        <v>421</v>
      </c>
      <c r="E13" s="80">
        <v>431</v>
      </c>
      <c r="F13" s="80">
        <v>441</v>
      </c>
      <c r="G13" s="80">
        <v>451</v>
      </c>
      <c r="H13" s="80">
        <v>461</v>
      </c>
      <c r="I13" s="80">
        <v>471</v>
      </c>
      <c r="J13" s="80">
        <v>481</v>
      </c>
    </row>
    <row r="14" spans="1:10" s="7" customFormat="1">
      <c r="A14" s="67" t="s">
        <v>245</v>
      </c>
      <c r="B14" s="72">
        <f t="shared" ref="B14:J14" si="0">+B15+B21+B22</f>
        <v>227497880</v>
      </c>
      <c r="C14" s="72">
        <f t="shared" si="0"/>
        <v>2656140</v>
      </c>
      <c r="D14" s="72">
        <f t="shared" si="0"/>
        <v>52484360</v>
      </c>
      <c r="E14" s="72">
        <f t="shared" si="0"/>
        <v>4051970</v>
      </c>
      <c r="F14" s="72">
        <f t="shared" si="0"/>
        <v>55019900</v>
      </c>
      <c r="G14" s="72">
        <f t="shared" si="0"/>
        <v>7267230</v>
      </c>
      <c r="H14" s="72">
        <f t="shared" si="0"/>
        <v>78929650</v>
      </c>
      <c r="I14" s="72">
        <f t="shared" si="0"/>
        <v>6696930</v>
      </c>
      <c r="J14" s="72">
        <f t="shared" si="0"/>
        <v>20391700</v>
      </c>
    </row>
    <row r="15" spans="1:10" s="83" customFormat="1">
      <c r="A15" s="10" t="s">
        <v>281</v>
      </c>
      <c r="B15" s="81">
        <f>+B16+B19+B20</f>
        <v>224316960</v>
      </c>
      <c r="C15" s="82">
        <f>+C16+C19+C20</f>
        <v>2656140</v>
      </c>
      <c r="D15" s="82">
        <f t="shared" ref="D15:J15" si="1">+D16+D19+D20</f>
        <v>50988110</v>
      </c>
      <c r="E15" s="82">
        <f t="shared" si="1"/>
        <v>4051970</v>
      </c>
      <c r="F15" s="82">
        <f t="shared" si="1"/>
        <v>55019900</v>
      </c>
      <c r="G15" s="82">
        <f t="shared" si="1"/>
        <v>7267230</v>
      </c>
      <c r="H15" s="82">
        <f t="shared" si="1"/>
        <v>78929650</v>
      </c>
      <c r="I15" s="82">
        <f t="shared" si="1"/>
        <v>5012260</v>
      </c>
      <c r="J15" s="82">
        <f t="shared" si="1"/>
        <v>20391700</v>
      </c>
    </row>
    <row r="16" spans="1:10">
      <c r="A16" s="7" t="s">
        <v>246</v>
      </c>
      <c r="B16" s="70">
        <f>+B17+B18</f>
        <v>116057150</v>
      </c>
      <c r="C16" s="76">
        <f>+C17+C18</f>
        <v>1527780</v>
      </c>
      <c r="D16" s="76">
        <f t="shared" ref="D16:J16" si="2">+D17+D18</f>
        <v>22252950</v>
      </c>
      <c r="E16" s="76">
        <f t="shared" si="2"/>
        <v>3345340</v>
      </c>
      <c r="F16" s="76">
        <f t="shared" si="2"/>
        <v>30855680</v>
      </c>
      <c r="G16" s="76">
        <f t="shared" si="2"/>
        <v>6917490</v>
      </c>
      <c r="H16" s="76">
        <f t="shared" si="2"/>
        <v>41767700</v>
      </c>
      <c r="I16" s="76">
        <f t="shared" si="2"/>
        <v>2510080</v>
      </c>
      <c r="J16" s="88">
        <f t="shared" si="2"/>
        <v>6880130</v>
      </c>
    </row>
    <row r="17" spans="1:12" s="20" customFormat="1" ht="12.75">
      <c r="A17" s="20" t="s">
        <v>279</v>
      </c>
      <c r="B17" s="84">
        <f t="shared" ref="B17:B22" si="3">SUM(C17:J17)</f>
        <v>101009660</v>
      </c>
      <c r="C17" s="85">
        <f>+'OBRAS B'!D28</f>
        <v>1527780</v>
      </c>
      <c r="D17" s="85">
        <f>+'OBRAS B'!E28+'OBRAS B'!F28+'OBRAS B'!G28+'OBRAS B'!H28+'OBRAS B'!I28</f>
        <v>20887960</v>
      </c>
      <c r="E17" s="85">
        <f>+'OBRAS B'!J28</f>
        <v>2639300</v>
      </c>
      <c r="F17" s="85">
        <f>+'OBRAS C'!D28+'OBRAS C'!E28+'OBRAS C'!F28+'OBRAS C'!G28+'OBRAS C'!H28</f>
        <v>25136660</v>
      </c>
      <c r="G17" s="85">
        <f>+'OBRAS C'!I28</f>
        <v>6492260</v>
      </c>
      <c r="H17" s="85">
        <f>+'OBRAS D'!D28+'OBRAS D'!E28+'OBRAS D'!F28</f>
        <v>35278820</v>
      </c>
      <c r="I17" s="85">
        <f>+'OBRAS D'!G28</f>
        <v>2510080</v>
      </c>
      <c r="J17" s="85">
        <f>+'OBRAS D'!H28</f>
        <v>6536800</v>
      </c>
      <c r="L17" s="123"/>
    </row>
    <row r="18" spans="1:12" s="20" customFormat="1" ht="12.75">
      <c r="A18" s="20" t="s">
        <v>280</v>
      </c>
      <c r="B18" s="84">
        <f t="shared" si="3"/>
        <v>15047490</v>
      </c>
      <c r="C18" s="85">
        <f>+'OBRAS B'!D46</f>
        <v>0</v>
      </c>
      <c r="D18" s="85">
        <f>+'OBRAS B'!E46+'OBRAS B'!F46+'OBRAS B'!G46+'OBRAS B'!H46+'OBRAS B'!I46</f>
        <v>1364990</v>
      </c>
      <c r="E18" s="85">
        <f>+'OBRAS B'!J46</f>
        <v>706040</v>
      </c>
      <c r="F18" s="85">
        <f>+'OBRAS C'!D46+'OBRAS C'!E46+'OBRAS C'!F46+'OBRAS C'!G46+'OBRAS C'!H46</f>
        <v>5719020</v>
      </c>
      <c r="G18" s="85">
        <f>+'OBRAS C'!I46</f>
        <v>425230</v>
      </c>
      <c r="H18" s="85">
        <f>+'OBRAS D'!D46+'OBRAS D'!E46+'OBRAS D'!F46</f>
        <v>6488880</v>
      </c>
      <c r="I18" s="85">
        <f>+'OBRAS D'!G46</f>
        <v>0</v>
      </c>
      <c r="J18" s="85">
        <f>+'OBRAS D'!H46</f>
        <v>343330</v>
      </c>
      <c r="L18" s="123"/>
    </row>
    <row r="19" spans="1:12">
      <c r="A19" s="7" t="s">
        <v>247</v>
      </c>
      <c r="B19" s="70">
        <f t="shared" si="3"/>
        <v>19626690</v>
      </c>
      <c r="C19" s="76">
        <f>+'OBRAS B'!D66</f>
        <v>114870</v>
      </c>
      <c r="D19" s="76">
        <f>+'OBRAS B'!E66+'OBRAS B'!F66+'OBRAS B'!G66+'OBRAS B'!H66+'OBRAS B'!I66</f>
        <v>8217110</v>
      </c>
      <c r="E19" s="76">
        <f>+'OBRAS B'!J66</f>
        <v>11370</v>
      </c>
      <c r="F19" s="76">
        <f>+'OBRAS C'!D66+'OBRAS C'!E66+'OBRAS C'!F66+'OBRAS C'!G66+'OBRAS C'!H66</f>
        <v>7677050</v>
      </c>
      <c r="G19" s="76">
        <f>+'OBRAS C'!I66</f>
        <v>45990</v>
      </c>
      <c r="H19" s="76">
        <f>+'OBRAS D'!D66+'OBRAS D'!E66+'OBRAS D'!F66</f>
        <v>2114080</v>
      </c>
      <c r="I19" s="76">
        <f>+'OBRAS D'!G66</f>
        <v>2330</v>
      </c>
      <c r="J19" s="76">
        <f>+'OBRAS D'!H66</f>
        <v>1443890</v>
      </c>
    </row>
    <row r="20" spans="1:12">
      <c r="A20" s="7" t="s">
        <v>248</v>
      </c>
      <c r="B20" s="70">
        <f t="shared" si="3"/>
        <v>88633120</v>
      </c>
      <c r="C20" s="76">
        <f>+'OBRAS B'!D92</f>
        <v>1013490</v>
      </c>
      <c r="D20" s="76">
        <f>+'OBRAS B'!E92+'OBRAS B'!F92+'OBRAS B'!G92+'OBRAS B'!H92+'OBRAS B'!I92</f>
        <v>20518050</v>
      </c>
      <c r="E20" s="76">
        <f>+'OBRAS B'!J92</f>
        <v>695260</v>
      </c>
      <c r="F20" s="88">
        <f>+'OBRAS C'!D92+'OBRAS C'!E92+'OBRAS C'!F92+'OBRAS C'!G92+'OBRAS C'!H92</f>
        <v>16487170</v>
      </c>
      <c r="G20" s="76">
        <f>+'OBRAS C'!I92</f>
        <v>303750</v>
      </c>
      <c r="H20" s="76">
        <f>+'OBRAS D'!D92+'OBRAS D'!E92+'OBRAS D'!F92</f>
        <v>35047870</v>
      </c>
      <c r="I20" s="76">
        <f>+'OBRAS D'!G92</f>
        <v>2499850</v>
      </c>
      <c r="J20" s="76">
        <f>+'OBRAS D'!H92</f>
        <v>12067680</v>
      </c>
    </row>
    <row r="21" spans="1:12">
      <c r="A21" s="7" t="s">
        <v>249</v>
      </c>
      <c r="B21" s="70">
        <f t="shared" si="3"/>
        <v>0</v>
      </c>
      <c r="C21" s="76">
        <f>+'OBRAS B'!D111</f>
        <v>0</v>
      </c>
      <c r="D21" s="76">
        <f>+'OBRAS B'!E111+'OBRAS B'!F111+'OBRAS B'!G111+'OBRAS B'!H111+'OBRAS B'!I111</f>
        <v>0</v>
      </c>
      <c r="E21" s="76">
        <f>+'OBRAS B'!J111</f>
        <v>0</v>
      </c>
      <c r="F21" s="76">
        <f>+'OBRAS C'!D111+'OBRAS C'!E111+'OBRAS C'!F111+'OBRAS C'!H111</f>
        <v>0</v>
      </c>
      <c r="G21" s="76">
        <f>+'OBRAS C'!I111</f>
        <v>0</v>
      </c>
      <c r="H21" s="76">
        <f>+'OBRAS D'!D111+'OBRAS D'!E111+'OBRAS D'!F111</f>
        <v>0</v>
      </c>
      <c r="I21" s="76">
        <f>+'OBRAS D'!G111</f>
        <v>0</v>
      </c>
      <c r="J21" s="76">
        <f>+'OBRAS D'!H111</f>
        <v>0</v>
      </c>
    </row>
    <row r="22" spans="1:12">
      <c r="A22" s="7" t="s">
        <v>250</v>
      </c>
      <c r="B22" s="70">
        <f t="shared" si="3"/>
        <v>3180920</v>
      </c>
      <c r="C22" s="76">
        <f>+'OBRAS B'!D113</f>
        <v>0</v>
      </c>
      <c r="D22" s="76">
        <f>+'OBRAS B'!E113+'OBRAS B'!F113+'OBRAS B'!G113+'OBRAS B'!H113+'OBRAS B'!I113</f>
        <v>1496250</v>
      </c>
      <c r="E22" s="76">
        <f>+'OBRAS B'!J113</f>
        <v>0</v>
      </c>
      <c r="F22" s="76">
        <f>+'OBRAS C'!D113+'OBRAS C'!E113+'OBRAS C'!F113+'OBRAS C'!H113</f>
        <v>0</v>
      </c>
      <c r="G22" s="76">
        <f>+'OBRAS C'!I113</f>
        <v>0</v>
      </c>
      <c r="H22" s="76">
        <f>+'OBRAS D'!D113+'OBRAS D'!E113+'OBRAS D'!F113</f>
        <v>0</v>
      </c>
      <c r="I22" s="76">
        <f>+'OBRAS D'!G113</f>
        <v>1684670</v>
      </c>
      <c r="J22" s="76">
        <f>+'OBRAS D'!H113</f>
        <v>0</v>
      </c>
    </row>
    <row r="23" spans="1:12" s="7" customFormat="1">
      <c r="A23" s="67" t="s">
        <v>251</v>
      </c>
      <c r="B23" s="72">
        <f t="shared" ref="B23:J23" si="4">+B24+B27+B28</f>
        <v>146661240</v>
      </c>
      <c r="C23" s="72">
        <f t="shared" si="4"/>
        <v>1129190</v>
      </c>
      <c r="D23" s="72">
        <f t="shared" si="4"/>
        <v>140311810</v>
      </c>
      <c r="E23" s="72">
        <f t="shared" si="4"/>
        <v>0</v>
      </c>
      <c r="F23" s="72">
        <f t="shared" si="4"/>
        <v>631970</v>
      </c>
      <c r="G23" s="72">
        <f t="shared" si="4"/>
        <v>44660</v>
      </c>
      <c r="H23" s="72">
        <f t="shared" si="4"/>
        <v>1217410</v>
      </c>
      <c r="I23" s="72">
        <f t="shared" si="4"/>
        <v>2073730</v>
      </c>
      <c r="J23" s="72">
        <f t="shared" si="4"/>
        <v>1252470</v>
      </c>
    </row>
    <row r="24" spans="1:12" s="10" customFormat="1">
      <c r="A24" s="10" t="s">
        <v>282</v>
      </c>
      <c r="B24" s="70">
        <f>+B25+B26</f>
        <v>144600010</v>
      </c>
      <c r="C24" s="82">
        <f>+C25+C26</f>
        <v>1129190</v>
      </c>
      <c r="D24" s="82">
        <f t="shared" ref="D24:J24" si="5">+D25+D26</f>
        <v>140311810</v>
      </c>
      <c r="E24" s="82">
        <f t="shared" si="5"/>
        <v>0</v>
      </c>
      <c r="F24" s="82">
        <f t="shared" si="5"/>
        <v>631970</v>
      </c>
      <c r="G24" s="82">
        <f t="shared" si="5"/>
        <v>44660</v>
      </c>
      <c r="H24" s="82">
        <f t="shared" si="5"/>
        <v>1217410</v>
      </c>
      <c r="I24" s="82">
        <f t="shared" si="5"/>
        <v>12500</v>
      </c>
      <c r="J24" s="82">
        <f t="shared" si="5"/>
        <v>1252470</v>
      </c>
    </row>
    <row r="25" spans="1:12">
      <c r="A25" s="7" t="s">
        <v>252</v>
      </c>
      <c r="B25" s="70">
        <f>SUM(C25:J25)</f>
        <v>5837680</v>
      </c>
      <c r="C25" s="76">
        <f>+'OBRAS B'!D107</f>
        <v>1129190</v>
      </c>
      <c r="D25" s="76">
        <f>+'OBRAS B'!E107+'OBRAS B'!F107+'OBRAS B'!G107+'OBRAS B'!H107+'OBRAS B'!I107</f>
        <v>1549480</v>
      </c>
      <c r="E25" s="76">
        <f>+'OBRAS B'!J107</f>
        <v>0</v>
      </c>
      <c r="F25" s="76">
        <f>+'OBRAS C'!D107+'OBRAS C'!E107+'OBRAS C'!F107+'OBRAS C'!H107</f>
        <v>631970</v>
      </c>
      <c r="G25" s="76">
        <f>+'OBRAS C'!I107</f>
        <v>44660</v>
      </c>
      <c r="H25" s="76">
        <f>+'OBRAS D'!D107+'OBRAS D'!E107+'OBRAS D'!F107</f>
        <v>1217410</v>
      </c>
      <c r="I25" s="76">
        <f>+'OBRAS D'!G107</f>
        <v>12500</v>
      </c>
      <c r="J25" s="76">
        <f>+'OBRAS D'!H107</f>
        <v>1252470</v>
      </c>
    </row>
    <row r="26" spans="1:12">
      <c r="A26" s="7" t="s">
        <v>253</v>
      </c>
      <c r="B26" s="70">
        <f>SUM(C26:J26)</f>
        <v>138762330</v>
      </c>
      <c r="C26" s="76">
        <f>+'OBRAS B'!D115</f>
        <v>0</v>
      </c>
      <c r="D26" s="76">
        <f>+'OBRAS B'!E115+'OBRAS B'!F115+'OBRAS B'!G115+'OBRAS B'!H115+'OBRAS B'!I115</f>
        <v>138762330</v>
      </c>
      <c r="E26" s="76">
        <f>+'OBRAS B'!J115</f>
        <v>0</v>
      </c>
      <c r="F26" s="76">
        <f>+'OBRAS C'!D115+'OBRAS C'!E115+'OBRAS C'!F115+'OBRAS C'!H115</f>
        <v>0</v>
      </c>
      <c r="G26" s="76">
        <f>+'OBRAS C'!I115</f>
        <v>0</v>
      </c>
      <c r="H26" s="76">
        <f>+'OBRAS D'!D115+'OBRAS D'!E115+'OBRAS D'!F115</f>
        <v>0</v>
      </c>
      <c r="I26" s="76">
        <f>+'OBRAS D'!G115</f>
        <v>0</v>
      </c>
      <c r="J26" s="76">
        <f>+'OBRAS D'!H115</f>
        <v>0</v>
      </c>
    </row>
    <row r="27" spans="1:12">
      <c r="A27" s="7" t="s">
        <v>254</v>
      </c>
      <c r="B27" s="70">
        <f>SUM(C27:J27)</f>
        <v>2061230</v>
      </c>
      <c r="C27" s="76">
        <f>+'OBRAS B'!D117</f>
        <v>0</v>
      </c>
      <c r="D27" s="76">
        <f>+'OBRAS B'!E117+'OBRAS B'!F117+'OBRAS B'!G117+'OBRAS B'!H117+'OBRAS B'!I117</f>
        <v>0</v>
      </c>
      <c r="E27" s="76">
        <f>+'OBRAS B'!J117</f>
        <v>0</v>
      </c>
      <c r="F27" s="76">
        <f>+'OBRAS C'!D117+'OBRAS C'!E117+'OBRAS C'!F117+'OBRAS C'!H117</f>
        <v>0</v>
      </c>
      <c r="G27" s="76">
        <f>+'OBRAS C'!I117</f>
        <v>0</v>
      </c>
      <c r="H27" s="76">
        <f>+'OBRAS D'!D117+'OBRAS D'!E117+'OBRAS D'!F117</f>
        <v>0</v>
      </c>
      <c r="I27" s="76">
        <f>+'OBRAS D'!G117</f>
        <v>2061230</v>
      </c>
      <c r="J27" s="76">
        <f>+'OBRAS D'!H117</f>
        <v>0</v>
      </c>
    </row>
    <row r="28" spans="1:12">
      <c r="A28" s="7" t="s">
        <v>255</v>
      </c>
      <c r="B28" s="70">
        <f>SUM(C28:J28)</f>
        <v>0</v>
      </c>
      <c r="C28" s="76">
        <f>+'OBRAS B'!D119</f>
        <v>0</v>
      </c>
      <c r="D28" s="76">
        <f>+'OBRAS B'!E119+'OBRAS B'!F119+'OBRAS B'!G119+'OBRAS B'!H119+'OBRAS B'!I119</f>
        <v>0</v>
      </c>
      <c r="E28" s="76">
        <f>+'OBRAS B'!J119</f>
        <v>0</v>
      </c>
      <c r="F28" s="76">
        <f>+'OBRAS C'!D119+'OBRAS C'!E119+'OBRAS C'!F119+'OBRAS C'!H119</f>
        <v>0</v>
      </c>
      <c r="G28" s="76">
        <f>+'OBRAS C'!I119</f>
        <v>0</v>
      </c>
      <c r="H28" s="76">
        <f>+'OBRAS D'!D119+'OBRAS D'!E119+'OBRAS D'!F119</f>
        <v>0</v>
      </c>
      <c r="I28" s="76">
        <f>+'OBRAS D'!G119</f>
        <v>0</v>
      </c>
      <c r="J28" s="76">
        <f>+'OBRAS D'!H119</f>
        <v>0</v>
      </c>
    </row>
    <row r="29" spans="1:12" s="7" customFormat="1">
      <c r="A29" s="67" t="s">
        <v>45</v>
      </c>
      <c r="B29" s="72">
        <f>+B30</f>
        <v>0</v>
      </c>
      <c r="C29" s="72">
        <f t="shared" ref="C29:J29" si="6">+C30</f>
        <v>0</v>
      </c>
      <c r="D29" s="72">
        <f t="shared" si="6"/>
        <v>0</v>
      </c>
      <c r="E29" s="72">
        <f t="shared" si="6"/>
        <v>0</v>
      </c>
      <c r="F29" s="72">
        <f t="shared" si="6"/>
        <v>0</v>
      </c>
      <c r="G29" s="72">
        <f t="shared" si="6"/>
        <v>0</v>
      </c>
      <c r="H29" s="72">
        <f t="shared" si="6"/>
        <v>0</v>
      </c>
      <c r="I29" s="72">
        <f t="shared" si="6"/>
        <v>0</v>
      </c>
      <c r="J29" s="72">
        <f t="shared" si="6"/>
        <v>0</v>
      </c>
    </row>
    <row r="30" spans="1:12">
      <c r="A30" t="s">
        <v>256</v>
      </c>
      <c r="B30" s="70">
        <f>SUM(C30:J30)</f>
        <v>0</v>
      </c>
      <c r="C30" s="76">
        <f>+'OBRAS B'!D121</f>
        <v>0</v>
      </c>
      <c r="D30" s="76">
        <f>+'OBRAS B'!E121+'OBRAS B'!F121+'OBRAS B'!G121+'OBRAS B'!H121+'OBRAS B'!I121</f>
        <v>0</v>
      </c>
      <c r="E30" s="76">
        <f>+'OBRAS B'!J121</f>
        <v>0</v>
      </c>
      <c r="F30" s="76">
        <f>+'OBRAS C'!D121+'OBRAS C'!E121+'OBRAS C'!F121+'OBRAS C'!H121</f>
        <v>0</v>
      </c>
      <c r="G30" s="76">
        <f>+'OBRAS C'!I121</f>
        <v>0</v>
      </c>
      <c r="H30" s="76">
        <f>+'OBRAS D'!D121+'OBRAS D'!E121+'OBRAS D'!F121</f>
        <v>0</v>
      </c>
      <c r="I30" s="76">
        <f>+'OBRAS D'!G121</f>
        <v>0</v>
      </c>
      <c r="J30" s="76">
        <f>+'OBRAS D'!H121</f>
        <v>0</v>
      </c>
    </row>
    <row r="31" spans="1:12" s="7" customFormat="1">
      <c r="A31" s="69" t="s">
        <v>48</v>
      </c>
      <c r="B31" s="72">
        <f t="shared" ref="B31:H31" si="7">+B14+B23+B29</f>
        <v>374159120</v>
      </c>
      <c r="C31" s="72">
        <f t="shared" si="7"/>
        <v>3785330</v>
      </c>
      <c r="D31" s="72">
        <f t="shared" si="7"/>
        <v>192796170</v>
      </c>
      <c r="E31" s="72">
        <f t="shared" si="7"/>
        <v>4051970</v>
      </c>
      <c r="F31" s="72">
        <f t="shared" si="7"/>
        <v>55651870</v>
      </c>
      <c r="G31" s="72">
        <f t="shared" si="7"/>
        <v>7311890</v>
      </c>
      <c r="H31" s="72">
        <f t="shared" si="7"/>
        <v>80147060</v>
      </c>
      <c r="I31" s="72">
        <f>+I14+I23+I29</f>
        <v>8770660</v>
      </c>
      <c r="J31" s="72">
        <f>+J14+J23+J29</f>
        <v>21644170</v>
      </c>
    </row>
    <row r="33" spans="2:2">
      <c r="B33" s="94"/>
    </row>
  </sheetData>
  <mergeCells count="3">
    <mergeCell ref="A8:J8"/>
    <mergeCell ref="A9:J9"/>
    <mergeCell ref="A10:I10"/>
  </mergeCells>
  <printOptions horizontalCentered="1"/>
  <pageMargins left="0" right="0" top="0.44" bottom="0.74803149606299213" header="0.31496062992125984" footer="0.31496062992125984"/>
  <pageSetup paperSize="9" scale="95" orientation="landscape" r:id="rId1"/>
  <drawing r:id="rId2"/>
</worksheet>
</file>

<file path=xl/worksheets/sheet17.xml><?xml version="1.0" encoding="utf-8"?>
<worksheet xmlns="http://schemas.openxmlformats.org/spreadsheetml/2006/main" xmlns:r="http://schemas.openxmlformats.org/officeDocument/2006/relationships">
  <dimension ref="A1:O127"/>
  <sheetViews>
    <sheetView workbookViewId="0">
      <selection activeCell="B7" sqref="B7"/>
    </sheetView>
  </sheetViews>
  <sheetFormatPr baseColWidth="10" defaultRowHeight="15"/>
  <cols>
    <col min="1" max="1" width="6.85546875" bestFit="1" customWidth="1"/>
    <col min="2" max="2" width="37.140625" bestFit="1" customWidth="1"/>
    <col min="3" max="3" width="12" bestFit="1" customWidth="1"/>
    <col min="4" max="5" width="10" bestFit="1" customWidth="1"/>
    <col min="6" max="6" width="12" bestFit="1" customWidth="1"/>
    <col min="7" max="7" width="11" bestFit="1" customWidth="1"/>
    <col min="8" max="8" width="11.140625" bestFit="1" customWidth="1"/>
    <col min="9" max="9" width="10" bestFit="1" customWidth="1"/>
    <col min="10" max="10" width="11.85546875" bestFit="1" customWidth="1"/>
    <col min="15" max="15" width="11.5703125" bestFit="1" customWidth="1"/>
  </cols>
  <sheetData>
    <row r="1" spans="1:10" s="1" customFormat="1" ht="15" customHeight="1">
      <c r="B1"/>
    </row>
    <row r="2" spans="1:10" s="1" customFormat="1" ht="15" customHeight="1"/>
    <row r="3" spans="1:10" s="1" customFormat="1" ht="15" customHeight="1"/>
    <row r="4" spans="1:10" s="1" customFormat="1" ht="15" customHeight="1"/>
    <row r="5" spans="1:10" s="1" customFormat="1" ht="15" customHeight="1" thickBot="1">
      <c r="A5" s="6"/>
      <c r="B5" s="6"/>
      <c r="C5" s="6"/>
      <c r="D5" s="6"/>
      <c r="E5" s="6"/>
      <c r="F5" s="6"/>
      <c r="G5" s="6"/>
      <c r="H5" s="6"/>
      <c r="I5" s="6"/>
      <c r="J5" s="6"/>
    </row>
    <row r="6" spans="1:10" ht="7.5" customHeight="1" thickTop="1"/>
    <row r="7" spans="1:10" s="20" customFormat="1" ht="12.75">
      <c r="B7" s="20" t="s">
        <v>867</v>
      </c>
    </row>
    <row r="8" spans="1:10">
      <c r="A8" s="390" t="s">
        <v>747</v>
      </c>
      <c r="B8" s="390"/>
      <c r="C8" s="390"/>
      <c r="D8" s="390"/>
      <c r="E8" s="390"/>
      <c r="F8" s="390"/>
      <c r="G8" s="390"/>
      <c r="H8" s="390"/>
      <c r="I8" s="390"/>
      <c r="J8" s="390"/>
    </row>
    <row r="9" spans="1:10">
      <c r="A9" s="390" t="s">
        <v>238</v>
      </c>
      <c r="B9" s="390"/>
      <c r="C9" s="390"/>
      <c r="D9" s="390"/>
      <c r="E9" s="390"/>
      <c r="F9" s="390"/>
      <c r="G9" s="390"/>
      <c r="H9" s="390"/>
      <c r="I9" s="390"/>
      <c r="J9" s="390"/>
    </row>
    <row r="10" spans="1:10">
      <c r="A10" s="391" t="s">
        <v>700</v>
      </c>
      <c r="B10" s="391"/>
      <c r="C10" s="391"/>
      <c r="D10" s="391"/>
      <c r="E10" s="391"/>
      <c r="F10" s="391"/>
      <c r="G10" s="391"/>
      <c r="H10" s="391"/>
      <c r="I10" s="391"/>
      <c r="J10" s="391"/>
    </row>
    <row r="11" spans="1:10" ht="7.5" customHeight="1"/>
    <row r="12" spans="1:10" s="9" customFormat="1" ht="12">
      <c r="A12" s="71" t="s">
        <v>69</v>
      </c>
      <c r="B12" s="71" t="s">
        <v>284</v>
      </c>
      <c r="C12" s="71" t="s">
        <v>239</v>
      </c>
      <c r="D12" s="71" t="s">
        <v>394</v>
      </c>
      <c r="E12" s="71" t="s">
        <v>401</v>
      </c>
      <c r="F12" s="71" t="s">
        <v>402</v>
      </c>
      <c r="G12" s="71" t="s">
        <v>403</v>
      </c>
      <c r="H12" s="71" t="s">
        <v>404</v>
      </c>
      <c r="I12" s="71" t="s">
        <v>405</v>
      </c>
      <c r="J12" s="71" t="s">
        <v>406</v>
      </c>
    </row>
    <row r="13" spans="1:10">
      <c r="C13" s="80"/>
      <c r="D13" s="80">
        <v>411</v>
      </c>
      <c r="E13" s="80">
        <v>421</v>
      </c>
      <c r="F13" s="80">
        <v>422</v>
      </c>
      <c r="G13" s="80">
        <v>423</v>
      </c>
      <c r="H13" s="80">
        <v>424</v>
      </c>
      <c r="I13" s="80">
        <v>425</v>
      </c>
      <c r="J13" s="80">
        <v>431</v>
      </c>
    </row>
    <row r="14" spans="1:10" s="83" customFormat="1">
      <c r="A14" s="87" t="s">
        <v>74</v>
      </c>
      <c r="B14" s="20" t="s">
        <v>286</v>
      </c>
      <c r="C14" s="92">
        <f>SUM(D14:J14)</f>
        <v>6582630</v>
      </c>
      <c r="D14" s="88">
        <v>898770</v>
      </c>
      <c r="E14" s="88">
        <v>764990</v>
      </c>
      <c r="F14" s="88">
        <v>1555590</v>
      </c>
      <c r="G14" s="88">
        <v>806990</v>
      </c>
      <c r="H14" s="88">
        <v>315360</v>
      </c>
      <c r="I14" s="88">
        <v>1543370</v>
      </c>
      <c r="J14" s="88">
        <v>697560</v>
      </c>
    </row>
    <row r="15" spans="1:10">
      <c r="A15" s="87" t="s">
        <v>76</v>
      </c>
      <c r="B15" s="20" t="s">
        <v>287</v>
      </c>
      <c r="C15" s="92">
        <f t="shared" ref="C15:C26" si="0">SUM(D15:J15)</f>
        <v>3636890</v>
      </c>
      <c r="D15" s="88">
        <v>87190</v>
      </c>
      <c r="E15" s="88">
        <v>317540</v>
      </c>
      <c r="F15" s="88">
        <v>1046040</v>
      </c>
      <c r="G15" s="88">
        <v>546240</v>
      </c>
      <c r="H15" s="88">
        <v>208020</v>
      </c>
      <c r="I15" s="88">
        <v>1046990</v>
      </c>
      <c r="J15" s="88">
        <v>384870</v>
      </c>
    </row>
    <row r="16" spans="1:10" s="20" customFormat="1">
      <c r="A16" s="87" t="s">
        <v>77</v>
      </c>
      <c r="B16" s="20" t="s">
        <v>288</v>
      </c>
      <c r="C16" s="92">
        <f t="shared" si="0"/>
        <v>0</v>
      </c>
      <c r="D16" s="88">
        <v>0</v>
      </c>
      <c r="E16" s="88">
        <v>0</v>
      </c>
      <c r="F16" s="88">
        <v>0</v>
      </c>
      <c r="G16" s="88">
        <v>0</v>
      </c>
      <c r="H16" s="88">
        <v>0</v>
      </c>
      <c r="I16" s="88">
        <v>0</v>
      </c>
      <c r="J16" s="88">
        <v>0</v>
      </c>
    </row>
    <row r="17" spans="1:11" s="20" customFormat="1">
      <c r="A17" s="87" t="s">
        <v>78</v>
      </c>
      <c r="B17" s="20" t="s">
        <v>289</v>
      </c>
      <c r="C17" s="92">
        <f t="shared" si="0"/>
        <v>0</v>
      </c>
      <c r="D17" s="88">
        <v>0</v>
      </c>
      <c r="E17" s="88">
        <v>0</v>
      </c>
      <c r="F17" s="88">
        <v>0</v>
      </c>
      <c r="G17" s="88">
        <v>0</v>
      </c>
      <c r="H17" s="88">
        <v>0</v>
      </c>
      <c r="I17" s="88">
        <v>0</v>
      </c>
      <c r="J17" s="88">
        <v>0</v>
      </c>
    </row>
    <row r="18" spans="1:11">
      <c r="A18" s="87" t="s">
        <v>79</v>
      </c>
      <c r="B18" s="20" t="s">
        <v>290</v>
      </c>
      <c r="C18" s="92">
        <f t="shared" si="0"/>
        <v>5169820</v>
      </c>
      <c r="D18" s="88">
        <v>129180</v>
      </c>
      <c r="E18" s="88">
        <v>489910</v>
      </c>
      <c r="F18" s="88">
        <v>1753680</v>
      </c>
      <c r="G18" s="88">
        <v>646140</v>
      </c>
      <c r="H18" s="88">
        <v>44540</v>
      </c>
      <c r="I18" s="88">
        <v>1752790</v>
      </c>
      <c r="J18" s="88">
        <v>353580</v>
      </c>
    </row>
    <row r="19" spans="1:11">
      <c r="A19" s="87" t="s">
        <v>80</v>
      </c>
      <c r="B19" s="20" t="s">
        <v>291</v>
      </c>
      <c r="C19" s="92">
        <f t="shared" si="0"/>
        <v>882960</v>
      </c>
      <c r="D19" s="88">
        <v>21630</v>
      </c>
      <c r="E19" s="88">
        <v>14390</v>
      </c>
      <c r="F19" s="88">
        <v>310750</v>
      </c>
      <c r="G19" s="88">
        <v>110080</v>
      </c>
      <c r="H19" s="88">
        <v>61730</v>
      </c>
      <c r="I19" s="88">
        <v>364380</v>
      </c>
      <c r="J19" s="88">
        <v>0</v>
      </c>
    </row>
    <row r="20" spans="1:11">
      <c r="A20" s="87" t="s">
        <v>81</v>
      </c>
      <c r="B20" s="20" t="s">
        <v>292</v>
      </c>
      <c r="C20" s="92">
        <f t="shared" si="0"/>
        <v>1744550</v>
      </c>
      <c r="D20" s="88">
        <v>111920</v>
      </c>
      <c r="E20" s="88">
        <v>163540</v>
      </c>
      <c r="F20" s="88">
        <v>489990</v>
      </c>
      <c r="G20" s="88">
        <v>233980</v>
      </c>
      <c r="H20" s="88">
        <v>68800</v>
      </c>
      <c r="I20" s="88">
        <v>503590</v>
      </c>
      <c r="J20" s="88">
        <v>172730</v>
      </c>
    </row>
    <row r="21" spans="1:11">
      <c r="A21" s="87" t="s">
        <v>82</v>
      </c>
      <c r="B21" s="20" t="s">
        <v>293</v>
      </c>
      <c r="C21" s="92">
        <f t="shared" si="0"/>
        <v>435220</v>
      </c>
      <c r="D21" s="88">
        <v>32240</v>
      </c>
      <c r="E21" s="88">
        <v>48720</v>
      </c>
      <c r="F21" s="88">
        <v>185930</v>
      </c>
      <c r="G21" s="88">
        <v>115520</v>
      </c>
      <c r="H21" s="88">
        <v>38660</v>
      </c>
      <c r="I21" s="88">
        <v>14150</v>
      </c>
      <c r="J21" s="88">
        <v>0</v>
      </c>
    </row>
    <row r="22" spans="1:11" s="7" customFormat="1">
      <c r="A22" s="87" t="s">
        <v>93</v>
      </c>
      <c r="B22" s="20" t="s">
        <v>294</v>
      </c>
      <c r="C22" s="92">
        <f t="shared" si="0"/>
        <v>601800</v>
      </c>
      <c r="D22" s="88">
        <v>5240</v>
      </c>
      <c r="E22" s="88">
        <v>125580</v>
      </c>
      <c r="F22" s="88">
        <v>90380</v>
      </c>
      <c r="G22" s="88">
        <v>34750</v>
      </c>
      <c r="H22" s="88">
        <v>21800</v>
      </c>
      <c r="I22" s="88">
        <v>0</v>
      </c>
      <c r="J22" s="88">
        <v>324050</v>
      </c>
    </row>
    <row r="23" spans="1:11" s="10" customFormat="1">
      <c r="A23" s="87" t="s">
        <v>94</v>
      </c>
      <c r="B23" s="20" t="s">
        <v>295</v>
      </c>
      <c r="C23" s="92">
        <f t="shared" si="0"/>
        <v>465530</v>
      </c>
      <c r="D23" s="88">
        <f>11190+4800</f>
        <v>15990</v>
      </c>
      <c r="E23" s="88">
        <f>34880+14400</f>
        <v>49280</v>
      </c>
      <c r="F23" s="88">
        <f>96120+39200</f>
        <v>135320</v>
      </c>
      <c r="G23" s="88">
        <f>62090+25600</f>
        <v>87690</v>
      </c>
      <c r="H23" s="88">
        <f>3640+1600</f>
        <v>5240</v>
      </c>
      <c r="I23" s="88">
        <f>116740+48000</f>
        <v>164740</v>
      </c>
      <c r="J23" s="88">
        <f>4370+2900</f>
        <v>7270</v>
      </c>
    </row>
    <row r="24" spans="1:11">
      <c r="A24" s="87" t="s">
        <v>151</v>
      </c>
      <c r="B24" s="20" t="s">
        <v>296</v>
      </c>
      <c r="C24" s="92">
        <f t="shared" si="0"/>
        <v>2290610</v>
      </c>
      <c r="D24" s="88">
        <v>99860</v>
      </c>
      <c r="E24" s="88">
        <v>267040</v>
      </c>
      <c r="F24" s="88">
        <v>638030</v>
      </c>
      <c r="G24" s="88">
        <v>312810</v>
      </c>
      <c r="H24" s="88">
        <f>182170</f>
        <v>182170</v>
      </c>
      <c r="I24" s="88">
        <f>485990</f>
        <v>485990</v>
      </c>
      <c r="J24" s="88">
        <v>304710</v>
      </c>
    </row>
    <row r="25" spans="1:11">
      <c r="A25" s="87" t="s">
        <v>153</v>
      </c>
      <c r="B25" s="20" t="s">
        <v>297</v>
      </c>
      <c r="C25" s="92">
        <f t="shared" si="0"/>
        <v>1465020</v>
      </c>
      <c r="D25" s="88">
        <v>57840</v>
      </c>
      <c r="E25" s="88">
        <v>39390</v>
      </c>
      <c r="F25" s="88">
        <v>376680</v>
      </c>
      <c r="G25" s="88">
        <v>193930</v>
      </c>
      <c r="H25" s="88">
        <v>93260</v>
      </c>
      <c r="I25" s="88">
        <v>530860</v>
      </c>
      <c r="J25" s="88">
        <v>173060</v>
      </c>
    </row>
    <row r="26" spans="1:11">
      <c r="A26" s="87" t="s">
        <v>155</v>
      </c>
      <c r="B26" s="20" t="s">
        <v>298</v>
      </c>
      <c r="C26" s="92">
        <f t="shared" si="0"/>
        <v>1780010</v>
      </c>
      <c r="D26" s="88">
        <v>67920</v>
      </c>
      <c r="E26" s="88">
        <v>180360</v>
      </c>
      <c r="F26" s="88">
        <v>471110</v>
      </c>
      <c r="G26" s="88">
        <v>242180</v>
      </c>
      <c r="H26" s="88">
        <v>115380</v>
      </c>
      <c r="I26" s="88">
        <v>481590</v>
      </c>
      <c r="J26" s="88">
        <v>221470</v>
      </c>
    </row>
    <row r="27" spans="1:11">
      <c r="A27" s="87" t="s">
        <v>157</v>
      </c>
      <c r="B27" s="20" t="s">
        <v>299</v>
      </c>
      <c r="C27" s="92">
        <f t="shared" ref="C27" si="1">SUM(D27:J27)</f>
        <v>0</v>
      </c>
      <c r="D27" s="88">
        <v>0</v>
      </c>
      <c r="E27" s="88">
        <v>0</v>
      </c>
      <c r="F27" s="88">
        <v>0</v>
      </c>
      <c r="G27" s="88">
        <v>0</v>
      </c>
      <c r="H27" s="88">
        <v>0</v>
      </c>
      <c r="I27" s="88">
        <v>0</v>
      </c>
      <c r="J27" s="88">
        <v>0</v>
      </c>
    </row>
    <row r="28" spans="1:11" s="7" customFormat="1">
      <c r="A28" s="67"/>
      <c r="B28" s="89" t="s">
        <v>300</v>
      </c>
      <c r="C28" s="72">
        <f>SUM(C14:C27)</f>
        <v>25055040</v>
      </c>
      <c r="D28" s="72">
        <f t="shared" ref="D28:J28" si="2">SUM(D14:D27)</f>
        <v>1527780</v>
      </c>
      <c r="E28" s="72">
        <f t="shared" si="2"/>
        <v>2460740</v>
      </c>
      <c r="F28" s="72">
        <f t="shared" si="2"/>
        <v>7053500</v>
      </c>
      <c r="G28" s="72">
        <f t="shared" si="2"/>
        <v>3330310</v>
      </c>
      <c r="H28" s="72">
        <f t="shared" si="2"/>
        <v>1154960</v>
      </c>
      <c r="I28" s="72">
        <f t="shared" si="2"/>
        <v>6888450</v>
      </c>
      <c r="J28" s="72">
        <f t="shared" si="2"/>
        <v>2639300</v>
      </c>
    </row>
    <row r="29" spans="1:11">
      <c r="C29" s="94"/>
      <c r="D29" s="306"/>
      <c r="E29" s="306"/>
      <c r="F29" s="306"/>
      <c r="G29" s="306"/>
      <c r="H29" s="306"/>
      <c r="I29" s="306"/>
      <c r="J29" s="306"/>
      <c r="K29" s="307"/>
    </row>
    <row r="30" spans="1:11" s="9" customFormat="1" ht="12">
      <c r="A30" s="71" t="s">
        <v>69</v>
      </c>
      <c r="B30" s="71" t="s">
        <v>301</v>
      </c>
      <c r="C30" s="71" t="s">
        <v>239</v>
      </c>
      <c r="D30" s="71" t="s">
        <v>394</v>
      </c>
      <c r="E30" s="71" t="s">
        <v>401</v>
      </c>
      <c r="F30" s="71" t="s">
        <v>402</v>
      </c>
      <c r="G30" s="71" t="s">
        <v>403</v>
      </c>
      <c r="H30" s="71" t="s">
        <v>404</v>
      </c>
      <c r="I30" s="71" t="s">
        <v>405</v>
      </c>
      <c r="J30" s="71" t="s">
        <v>406</v>
      </c>
    </row>
    <row r="31" spans="1:11" s="80" customFormat="1">
      <c r="A31" s="93" t="s">
        <v>303</v>
      </c>
      <c r="D31" s="80">
        <v>411</v>
      </c>
      <c r="E31" s="80">
        <v>421</v>
      </c>
      <c r="F31" s="80">
        <v>422</v>
      </c>
      <c r="G31" s="80">
        <v>423</v>
      </c>
      <c r="H31" s="80">
        <v>424</v>
      </c>
      <c r="I31" s="80">
        <v>425</v>
      </c>
      <c r="J31" s="80">
        <v>431</v>
      </c>
    </row>
    <row r="32" spans="1:11" s="83" customFormat="1">
      <c r="A32" s="87" t="s">
        <v>74</v>
      </c>
      <c r="B32" s="20" t="s">
        <v>286</v>
      </c>
      <c r="C32" s="92">
        <f>SUM(D32:J32)</f>
        <v>416060</v>
      </c>
      <c r="D32" s="88">
        <v>0</v>
      </c>
      <c r="E32" s="88">
        <v>92970</v>
      </c>
      <c r="F32" s="88">
        <v>64700</v>
      </c>
      <c r="G32" s="88">
        <v>19890</v>
      </c>
      <c r="H32" s="88">
        <v>56980</v>
      </c>
      <c r="I32" s="88">
        <v>46600</v>
      </c>
      <c r="J32" s="88">
        <v>134920</v>
      </c>
    </row>
    <row r="33" spans="1:10">
      <c r="A33" s="87" t="s">
        <v>76</v>
      </c>
      <c r="B33" s="20" t="s">
        <v>287</v>
      </c>
      <c r="C33" s="92">
        <f t="shared" ref="C33:C44" si="3">SUM(D33:J33)</f>
        <v>132340</v>
      </c>
      <c r="D33" s="88">
        <v>0</v>
      </c>
      <c r="E33" s="88">
        <v>6350</v>
      </c>
      <c r="F33" s="88">
        <v>14660</v>
      </c>
      <c r="G33" s="88">
        <v>74800</v>
      </c>
      <c r="H33" s="88">
        <v>6290</v>
      </c>
      <c r="I33" s="88">
        <v>8120</v>
      </c>
      <c r="J33" s="88">
        <v>22120</v>
      </c>
    </row>
    <row r="34" spans="1:10" s="20" customFormat="1">
      <c r="A34" s="87" t="s">
        <v>77</v>
      </c>
      <c r="B34" s="20" t="s">
        <v>288</v>
      </c>
      <c r="C34" s="92">
        <f t="shared" si="3"/>
        <v>0</v>
      </c>
      <c r="D34" s="88">
        <v>0</v>
      </c>
      <c r="E34" s="88">
        <v>0</v>
      </c>
      <c r="F34" s="88">
        <v>0</v>
      </c>
      <c r="G34" s="88">
        <v>0</v>
      </c>
      <c r="H34" s="88">
        <v>0</v>
      </c>
      <c r="I34" s="88">
        <v>0</v>
      </c>
      <c r="J34" s="88">
        <v>0</v>
      </c>
    </row>
    <row r="35" spans="1:10" s="20" customFormat="1">
      <c r="A35" s="87" t="s">
        <v>78</v>
      </c>
      <c r="B35" s="20" t="s">
        <v>289</v>
      </c>
      <c r="C35" s="92">
        <f t="shared" si="3"/>
        <v>0</v>
      </c>
      <c r="D35" s="88">
        <v>0</v>
      </c>
      <c r="E35" s="88">
        <v>0</v>
      </c>
      <c r="F35" s="88">
        <v>0</v>
      </c>
      <c r="G35" s="88">
        <v>0</v>
      </c>
      <c r="H35" s="88">
        <v>0</v>
      </c>
      <c r="I35" s="88">
        <v>0</v>
      </c>
      <c r="J35" s="88">
        <v>0</v>
      </c>
    </row>
    <row r="36" spans="1:10">
      <c r="A36" s="87" t="s">
        <v>79</v>
      </c>
      <c r="B36" s="20" t="s">
        <v>290</v>
      </c>
      <c r="C36" s="92">
        <f t="shared" si="3"/>
        <v>893220</v>
      </c>
      <c r="D36" s="88">
        <v>0</v>
      </c>
      <c r="E36" s="88">
        <v>165340</v>
      </c>
      <c r="F36" s="88">
        <v>161670</v>
      </c>
      <c r="G36" s="88">
        <v>52580</v>
      </c>
      <c r="H36" s="88">
        <v>115740</v>
      </c>
      <c r="I36" s="88">
        <v>78630</v>
      </c>
      <c r="J36" s="88">
        <v>319260</v>
      </c>
    </row>
    <row r="37" spans="1:10">
      <c r="A37" s="87" t="s">
        <v>80</v>
      </c>
      <c r="B37" s="20" t="s">
        <v>291</v>
      </c>
      <c r="C37" s="92">
        <f t="shared" si="3"/>
        <v>0</v>
      </c>
      <c r="D37" s="88">
        <v>0</v>
      </c>
      <c r="E37" s="88">
        <v>0</v>
      </c>
      <c r="F37" s="88">
        <v>0</v>
      </c>
      <c r="G37" s="88">
        <v>0</v>
      </c>
      <c r="H37" s="88">
        <v>0</v>
      </c>
      <c r="I37" s="88">
        <v>0</v>
      </c>
      <c r="J37" s="88">
        <v>0</v>
      </c>
    </row>
    <row r="38" spans="1:10">
      <c r="A38" s="87" t="s">
        <v>81</v>
      </c>
      <c r="B38" s="20" t="s">
        <v>292</v>
      </c>
      <c r="C38" s="92">
        <f t="shared" si="3"/>
        <v>134610</v>
      </c>
      <c r="D38" s="88">
        <v>0</v>
      </c>
      <c r="E38" s="88">
        <v>24060</v>
      </c>
      <c r="F38" s="88">
        <v>24150</v>
      </c>
      <c r="G38" s="88">
        <v>7980</v>
      </c>
      <c r="H38" s="88">
        <v>17730</v>
      </c>
      <c r="I38" s="88">
        <v>13190</v>
      </c>
      <c r="J38" s="88">
        <v>47500</v>
      </c>
    </row>
    <row r="39" spans="1:10">
      <c r="A39" s="87" t="s">
        <v>82</v>
      </c>
      <c r="B39" s="20" t="s">
        <v>293</v>
      </c>
      <c r="C39" s="92">
        <f t="shared" si="3"/>
        <v>155700</v>
      </c>
      <c r="D39" s="88">
        <v>0</v>
      </c>
      <c r="E39" s="88">
        <v>20230</v>
      </c>
      <c r="F39" s="88">
        <v>14760</v>
      </c>
      <c r="G39" s="88">
        <v>20480</v>
      </c>
      <c r="H39" s="88">
        <v>20280</v>
      </c>
      <c r="I39" s="88">
        <v>8690</v>
      </c>
      <c r="J39" s="88">
        <v>71260</v>
      </c>
    </row>
    <row r="40" spans="1:10" s="7" customFormat="1">
      <c r="A40" s="87" t="s">
        <v>93</v>
      </c>
      <c r="B40" s="20" t="s">
        <v>294</v>
      </c>
      <c r="C40" s="92">
        <f t="shared" si="3"/>
        <v>0</v>
      </c>
      <c r="D40" s="88">
        <v>0</v>
      </c>
      <c r="E40" s="88">
        <v>0</v>
      </c>
      <c r="F40" s="88">
        <v>0</v>
      </c>
      <c r="G40" s="88">
        <v>0</v>
      </c>
      <c r="H40" s="88">
        <v>0</v>
      </c>
      <c r="I40" s="88">
        <v>0</v>
      </c>
      <c r="J40" s="88">
        <v>0</v>
      </c>
    </row>
    <row r="41" spans="1:10" s="10" customFormat="1">
      <c r="A41" s="87" t="s">
        <v>94</v>
      </c>
      <c r="B41" s="20" t="s">
        <v>295</v>
      </c>
      <c r="C41" s="92">
        <f t="shared" si="3"/>
        <v>62480</v>
      </c>
      <c r="D41" s="88">
        <v>0</v>
      </c>
      <c r="E41" s="88">
        <f>8460+3200</f>
        <v>11660</v>
      </c>
      <c r="F41" s="88">
        <f>8450+3200</f>
        <v>11650</v>
      </c>
      <c r="G41" s="88">
        <f>2790+800</f>
        <v>3590</v>
      </c>
      <c r="H41" s="88">
        <f>6160+2400</f>
        <v>8560</v>
      </c>
      <c r="I41" s="88">
        <f>4190+1600</f>
        <v>5790</v>
      </c>
      <c r="J41" s="88">
        <f>14830+6400</f>
        <v>21230</v>
      </c>
    </row>
    <row r="42" spans="1:10">
      <c r="A42" s="87" t="s">
        <v>151</v>
      </c>
      <c r="B42" s="20" t="s">
        <v>296</v>
      </c>
      <c r="C42" s="92">
        <f t="shared" si="3"/>
        <v>123800</v>
      </c>
      <c r="D42" s="88">
        <v>0</v>
      </c>
      <c r="E42" s="88">
        <v>23480</v>
      </c>
      <c r="F42" s="88">
        <v>23330</v>
      </c>
      <c r="G42" s="88">
        <v>7680</v>
      </c>
      <c r="H42" s="88">
        <v>15430</v>
      </c>
      <c r="I42" s="88">
        <v>14490</v>
      </c>
      <c r="J42" s="88">
        <v>39390</v>
      </c>
    </row>
    <row r="43" spans="1:10">
      <c r="A43" s="87" t="s">
        <v>153</v>
      </c>
      <c r="B43" s="20" t="s">
        <v>297</v>
      </c>
      <c r="C43" s="92">
        <f t="shared" si="3"/>
        <v>78090</v>
      </c>
      <c r="D43" s="88">
        <v>0</v>
      </c>
      <c r="E43" s="88">
        <v>12940</v>
      </c>
      <c r="F43" s="88">
        <v>15220</v>
      </c>
      <c r="G43" s="88">
        <v>4960</v>
      </c>
      <c r="H43" s="88">
        <v>10080</v>
      </c>
      <c r="I43" s="88">
        <v>9430</v>
      </c>
      <c r="J43" s="88">
        <v>25460</v>
      </c>
    </row>
    <row r="44" spans="1:10">
      <c r="A44" s="87" t="s">
        <v>155</v>
      </c>
      <c r="B44" s="20" t="s">
        <v>298</v>
      </c>
      <c r="C44" s="92">
        <f t="shared" si="3"/>
        <v>74730</v>
      </c>
      <c r="D44" s="88">
        <v>0</v>
      </c>
      <c r="E44" s="88">
        <v>12110</v>
      </c>
      <c r="F44" s="88">
        <v>14280</v>
      </c>
      <c r="G44" s="88">
        <v>4590</v>
      </c>
      <c r="H44" s="88">
        <v>10020</v>
      </c>
      <c r="I44" s="88">
        <v>8830</v>
      </c>
      <c r="J44" s="88">
        <v>24900</v>
      </c>
    </row>
    <row r="45" spans="1:10">
      <c r="A45" s="87" t="s">
        <v>157</v>
      </c>
      <c r="B45" s="20" t="s">
        <v>299</v>
      </c>
      <c r="C45" s="92">
        <f t="shared" ref="C45" si="4">SUM(D45:J45)</f>
        <v>0</v>
      </c>
      <c r="D45" s="88">
        <v>0</v>
      </c>
      <c r="E45" s="88">
        <v>0</v>
      </c>
      <c r="F45" s="88">
        <v>0</v>
      </c>
      <c r="G45" s="88">
        <v>0</v>
      </c>
      <c r="H45" s="88">
        <v>0</v>
      </c>
      <c r="I45" s="88">
        <v>0</v>
      </c>
      <c r="J45" s="88">
        <v>0</v>
      </c>
    </row>
    <row r="46" spans="1:10" s="7" customFormat="1">
      <c r="A46" s="67"/>
      <c r="B46" s="89" t="s">
        <v>300</v>
      </c>
      <c r="C46" s="72">
        <f>SUM(C32:C45)</f>
        <v>2071030</v>
      </c>
      <c r="D46" s="72">
        <f t="shared" ref="D46:J46" si="5">SUM(D32:D45)</f>
        <v>0</v>
      </c>
      <c r="E46" s="72">
        <f t="shared" si="5"/>
        <v>369140</v>
      </c>
      <c r="F46" s="72">
        <f t="shared" si="5"/>
        <v>344420</v>
      </c>
      <c r="G46" s="72">
        <f t="shared" si="5"/>
        <v>196550</v>
      </c>
      <c r="H46" s="72">
        <f t="shared" si="5"/>
        <v>261110</v>
      </c>
      <c r="I46" s="72">
        <f t="shared" si="5"/>
        <v>193770</v>
      </c>
      <c r="J46" s="72">
        <f t="shared" si="5"/>
        <v>706040</v>
      </c>
    </row>
    <row r="47" spans="1:10">
      <c r="F47" s="306"/>
      <c r="G47" s="306"/>
      <c r="H47" s="306"/>
      <c r="I47" s="306"/>
      <c r="J47" s="306"/>
    </row>
    <row r="48" spans="1:10" s="9" customFormat="1" ht="12">
      <c r="A48" s="71" t="s">
        <v>69</v>
      </c>
      <c r="B48" s="71" t="s">
        <v>302</v>
      </c>
      <c r="C48" s="71" t="s">
        <v>239</v>
      </c>
      <c r="D48" s="71" t="s">
        <v>394</v>
      </c>
      <c r="E48" s="71" t="s">
        <v>401</v>
      </c>
      <c r="F48" s="71" t="s">
        <v>402</v>
      </c>
      <c r="G48" s="71" t="s">
        <v>403</v>
      </c>
      <c r="H48" s="71" t="s">
        <v>404</v>
      </c>
      <c r="I48" s="71" t="s">
        <v>405</v>
      </c>
      <c r="J48" s="71" t="s">
        <v>406</v>
      </c>
    </row>
    <row r="49" spans="1:10" s="80" customFormat="1">
      <c r="A49" s="93" t="s">
        <v>304</v>
      </c>
      <c r="D49" s="80">
        <v>411</v>
      </c>
      <c r="E49" s="80">
        <v>421</v>
      </c>
      <c r="F49" s="80">
        <v>422</v>
      </c>
      <c r="G49" s="80">
        <v>423</v>
      </c>
      <c r="H49" s="80">
        <v>424</v>
      </c>
      <c r="I49" s="80">
        <v>425</v>
      </c>
      <c r="J49" s="80">
        <v>431</v>
      </c>
    </row>
    <row r="50" spans="1:10" s="83" customFormat="1">
      <c r="A50" s="87" t="s">
        <v>74</v>
      </c>
      <c r="B50" s="20" t="s">
        <v>307</v>
      </c>
      <c r="C50" s="92">
        <f>SUM(D50:J50)</f>
        <v>27050</v>
      </c>
      <c r="D50" s="88">
        <v>20350</v>
      </c>
      <c r="E50" s="88">
        <v>6700</v>
      </c>
      <c r="F50" s="88">
        <v>0</v>
      </c>
      <c r="G50" s="88">
        <v>0</v>
      </c>
      <c r="H50" s="88">
        <v>0</v>
      </c>
      <c r="I50" s="88">
        <v>0</v>
      </c>
      <c r="J50" s="88">
        <v>0</v>
      </c>
    </row>
    <row r="51" spans="1:10">
      <c r="A51" s="87" t="s">
        <v>76</v>
      </c>
      <c r="B51" s="20" t="s">
        <v>308</v>
      </c>
      <c r="C51" s="92">
        <f t="shared" ref="C51:C64" si="6">SUM(D51:J51)</f>
        <v>0</v>
      </c>
      <c r="D51" s="88">
        <v>0</v>
      </c>
      <c r="E51" s="88">
        <v>0</v>
      </c>
      <c r="F51" s="88">
        <v>0</v>
      </c>
      <c r="G51" s="88">
        <v>0</v>
      </c>
      <c r="H51" s="88">
        <v>0</v>
      </c>
      <c r="I51" s="88">
        <v>0</v>
      </c>
      <c r="J51" s="88">
        <v>0</v>
      </c>
    </row>
    <row r="52" spans="1:10" s="20" customFormat="1">
      <c r="A52" s="87" t="s">
        <v>77</v>
      </c>
      <c r="B52" s="20" t="s">
        <v>309</v>
      </c>
      <c r="C52" s="92">
        <f t="shared" si="6"/>
        <v>6500</v>
      </c>
      <c r="D52" s="88">
        <v>0</v>
      </c>
      <c r="E52" s="88">
        <v>0</v>
      </c>
      <c r="F52" s="88">
        <v>0</v>
      </c>
      <c r="G52" s="88">
        <v>6500</v>
      </c>
      <c r="H52" s="88">
        <v>0</v>
      </c>
      <c r="I52" s="88">
        <v>0</v>
      </c>
      <c r="J52" s="88">
        <v>0</v>
      </c>
    </row>
    <row r="53" spans="1:10" s="20" customFormat="1">
      <c r="A53" s="87" t="s">
        <v>78</v>
      </c>
      <c r="B53" s="20" t="s">
        <v>310</v>
      </c>
      <c r="C53" s="92">
        <f t="shared" si="6"/>
        <v>453290</v>
      </c>
      <c r="D53" s="88">
        <v>16720</v>
      </c>
      <c r="E53" s="88">
        <v>436570</v>
      </c>
      <c r="F53" s="88">
        <v>0</v>
      </c>
      <c r="G53" s="88">
        <v>0</v>
      </c>
      <c r="H53" s="88">
        <v>0</v>
      </c>
      <c r="I53" s="88">
        <v>0</v>
      </c>
      <c r="J53" s="88">
        <v>0</v>
      </c>
    </row>
    <row r="54" spans="1:10">
      <c r="A54" s="87" t="s">
        <v>79</v>
      </c>
      <c r="B54" s="20" t="s">
        <v>311</v>
      </c>
      <c r="C54" s="92">
        <f t="shared" si="6"/>
        <v>2390</v>
      </c>
      <c r="D54" s="88">
        <v>0</v>
      </c>
      <c r="E54" s="88">
        <v>0</v>
      </c>
      <c r="F54" s="88">
        <v>0</v>
      </c>
      <c r="G54" s="88">
        <v>0</v>
      </c>
      <c r="H54" s="88">
        <v>0</v>
      </c>
      <c r="I54" s="88">
        <v>0</v>
      </c>
      <c r="J54" s="88">
        <v>2390</v>
      </c>
    </row>
    <row r="55" spans="1:10">
      <c r="A55" s="87" t="s">
        <v>80</v>
      </c>
      <c r="B55" s="20" t="s">
        <v>312</v>
      </c>
      <c r="C55" s="92">
        <f t="shared" si="6"/>
        <v>0</v>
      </c>
      <c r="D55" s="88">
        <v>0</v>
      </c>
      <c r="E55" s="88">
        <v>0</v>
      </c>
      <c r="F55" s="88">
        <v>0</v>
      </c>
      <c r="G55" s="88">
        <v>0</v>
      </c>
      <c r="H55" s="88">
        <v>0</v>
      </c>
      <c r="I55" s="88">
        <v>0</v>
      </c>
      <c r="J55" s="88">
        <v>0</v>
      </c>
    </row>
    <row r="56" spans="1:10">
      <c r="A56" s="87" t="s">
        <v>81</v>
      </c>
      <c r="B56" s="20" t="s">
        <v>313</v>
      </c>
      <c r="C56" s="92">
        <f t="shared" si="6"/>
        <v>0</v>
      </c>
      <c r="D56" s="88">
        <v>0</v>
      </c>
      <c r="E56" s="88">
        <v>0</v>
      </c>
      <c r="F56" s="88">
        <v>0</v>
      </c>
      <c r="G56" s="88">
        <v>0</v>
      </c>
      <c r="H56" s="88">
        <v>0</v>
      </c>
      <c r="I56" s="88">
        <v>0</v>
      </c>
      <c r="J56" s="88">
        <v>0</v>
      </c>
    </row>
    <row r="57" spans="1:10">
      <c r="A57" s="87" t="s">
        <v>82</v>
      </c>
      <c r="B57" s="20" t="s">
        <v>314</v>
      </c>
      <c r="C57" s="92">
        <f t="shared" si="6"/>
        <v>0</v>
      </c>
      <c r="D57" s="88">
        <v>0</v>
      </c>
      <c r="E57" s="88">
        <v>0</v>
      </c>
      <c r="F57" s="88">
        <v>0</v>
      </c>
      <c r="G57" s="88">
        <v>0</v>
      </c>
      <c r="H57" s="88">
        <v>0</v>
      </c>
      <c r="I57" s="88">
        <v>0</v>
      </c>
      <c r="J57" s="88">
        <v>0</v>
      </c>
    </row>
    <row r="58" spans="1:10">
      <c r="A58" s="87" t="s">
        <v>93</v>
      </c>
      <c r="B58" s="20" t="s">
        <v>315</v>
      </c>
      <c r="C58" s="92">
        <f t="shared" si="6"/>
        <v>0</v>
      </c>
      <c r="D58" s="88">
        <v>0</v>
      </c>
      <c r="E58" s="88">
        <v>0</v>
      </c>
      <c r="F58" s="88">
        <v>0</v>
      </c>
      <c r="G58" s="88">
        <v>0</v>
      </c>
      <c r="H58" s="88">
        <v>0</v>
      </c>
      <c r="I58" s="88">
        <v>0</v>
      </c>
      <c r="J58" s="88">
        <v>0</v>
      </c>
    </row>
    <row r="59" spans="1:10">
      <c r="A59" s="87" t="s">
        <v>94</v>
      </c>
      <c r="B59" s="20" t="s">
        <v>316</v>
      </c>
      <c r="C59" s="92">
        <f t="shared" si="6"/>
        <v>0</v>
      </c>
      <c r="D59" s="88">
        <v>0</v>
      </c>
      <c r="E59" s="88">
        <v>0</v>
      </c>
      <c r="F59" s="88">
        <v>0</v>
      </c>
      <c r="G59" s="88">
        <v>0</v>
      </c>
      <c r="H59" s="88">
        <v>0</v>
      </c>
      <c r="I59" s="88">
        <v>0</v>
      </c>
      <c r="J59" s="88">
        <v>0</v>
      </c>
    </row>
    <row r="60" spans="1:10">
      <c r="A60" s="87" t="s">
        <v>151</v>
      </c>
      <c r="B60" s="20" t="s">
        <v>317</v>
      </c>
      <c r="C60" s="92">
        <f t="shared" si="6"/>
        <v>7039970</v>
      </c>
      <c r="D60" s="88">
        <v>59850</v>
      </c>
      <c r="E60" s="88">
        <v>0</v>
      </c>
      <c r="F60" s="88">
        <v>2576540</v>
      </c>
      <c r="G60" s="88">
        <v>3121290</v>
      </c>
      <c r="H60" s="88">
        <v>600000</v>
      </c>
      <c r="I60" s="88">
        <v>682290</v>
      </c>
      <c r="J60" s="88">
        <v>0</v>
      </c>
    </row>
    <row r="61" spans="1:10">
      <c r="A61" s="87" t="s">
        <v>153</v>
      </c>
      <c r="B61" s="20" t="s">
        <v>318</v>
      </c>
      <c r="C61" s="92">
        <f t="shared" si="6"/>
        <v>516210</v>
      </c>
      <c r="D61" s="88">
        <v>0</v>
      </c>
      <c r="E61" s="88">
        <v>0</v>
      </c>
      <c r="F61" s="88">
        <v>0</v>
      </c>
      <c r="G61" s="88">
        <v>510930</v>
      </c>
      <c r="H61" s="88">
        <v>0</v>
      </c>
      <c r="I61" s="88">
        <v>5280</v>
      </c>
      <c r="J61" s="88">
        <v>0</v>
      </c>
    </row>
    <row r="62" spans="1:10">
      <c r="A62" s="87" t="s">
        <v>155</v>
      </c>
      <c r="B62" s="20" t="s">
        <v>319</v>
      </c>
      <c r="C62" s="92">
        <f t="shared" si="6"/>
        <v>2680</v>
      </c>
      <c r="D62" s="88">
        <v>0</v>
      </c>
      <c r="E62" s="88">
        <v>0</v>
      </c>
      <c r="F62" s="88">
        <v>0</v>
      </c>
      <c r="G62" s="88">
        <v>0</v>
      </c>
      <c r="H62" s="88">
        <v>0</v>
      </c>
      <c r="I62" s="88">
        <v>2680</v>
      </c>
      <c r="J62" s="88">
        <v>0</v>
      </c>
    </row>
    <row r="63" spans="1:10" s="7" customFormat="1">
      <c r="A63" s="87" t="s">
        <v>157</v>
      </c>
      <c r="B63" s="20" t="s">
        <v>320</v>
      </c>
      <c r="C63" s="92">
        <f t="shared" si="6"/>
        <v>0</v>
      </c>
      <c r="D63" s="88">
        <v>0</v>
      </c>
      <c r="E63" s="88">
        <v>0</v>
      </c>
      <c r="F63" s="88">
        <v>0</v>
      </c>
      <c r="G63" s="88">
        <v>0</v>
      </c>
      <c r="H63" s="88">
        <v>0</v>
      </c>
      <c r="I63" s="88">
        <v>0</v>
      </c>
      <c r="J63" s="88">
        <v>0</v>
      </c>
    </row>
    <row r="64" spans="1:10" s="10" customFormat="1">
      <c r="A64" s="87" t="s">
        <v>159</v>
      </c>
      <c r="B64" s="20" t="s">
        <v>321</v>
      </c>
      <c r="C64" s="92">
        <f t="shared" si="6"/>
        <v>295260</v>
      </c>
      <c r="D64" s="88">
        <v>17950</v>
      </c>
      <c r="E64" s="88">
        <v>71050</v>
      </c>
      <c r="F64" s="88">
        <v>67580</v>
      </c>
      <c r="G64" s="88">
        <v>0</v>
      </c>
      <c r="H64" s="88">
        <v>0</v>
      </c>
      <c r="I64" s="88">
        <v>129700</v>
      </c>
      <c r="J64" s="88">
        <v>8980</v>
      </c>
    </row>
    <row r="65" spans="1:10">
      <c r="A65" s="87"/>
      <c r="B65" s="20"/>
      <c r="C65" s="92"/>
      <c r="D65" s="88"/>
      <c r="E65" s="88"/>
      <c r="F65" s="88"/>
      <c r="G65" s="88"/>
      <c r="H65" s="88"/>
      <c r="I65" s="88"/>
      <c r="J65" s="88"/>
    </row>
    <row r="66" spans="1:10" s="7" customFormat="1">
      <c r="A66" s="67"/>
      <c r="B66" s="89" t="s">
        <v>300</v>
      </c>
      <c r="C66" s="72">
        <f t="shared" ref="C66:J66" si="7">SUM(C50:C65)</f>
        <v>8343350</v>
      </c>
      <c r="D66" s="72">
        <f t="shared" si="7"/>
        <v>114870</v>
      </c>
      <c r="E66" s="72">
        <f t="shared" si="7"/>
        <v>514320</v>
      </c>
      <c r="F66" s="72">
        <f t="shared" si="7"/>
        <v>2644120</v>
      </c>
      <c r="G66" s="72">
        <f t="shared" si="7"/>
        <v>3638720</v>
      </c>
      <c r="H66" s="72">
        <f t="shared" si="7"/>
        <v>600000</v>
      </c>
      <c r="I66" s="72">
        <f t="shared" si="7"/>
        <v>819950</v>
      </c>
      <c r="J66" s="72">
        <f t="shared" si="7"/>
        <v>11370</v>
      </c>
    </row>
    <row r="68" spans="1:10" s="9" customFormat="1" ht="12">
      <c r="A68" s="71" t="s">
        <v>69</v>
      </c>
      <c r="B68" s="71" t="s">
        <v>324</v>
      </c>
      <c r="C68" s="71" t="s">
        <v>239</v>
      </c>
      <c r="D68" s="71" t="s">
        <v>394</v>
      </c>
      <c r="E68" s="71" t="s">
        <v>401</v>
      </c>
      <c r="F68" s="71" t="s">
        <v>402</v>
      </c>
      <c r="G68" s="71" t="s">
        <v>403</v>
      </c>
      <c r="H68" s="71" t="s">
        <v>404</v>
      </c>
      <c r="I68" s="71" t="s">
        <v>405</v>
      </c>
      <c r="J68" s="71" t="s">
        <v>406</v>
      </c>
    </row>
    <row r="69" spans="1:10" s="80" customFormat="1">
      <c r="A69" s="93" t="s">
        <v>323</v>
      </c>
      <c r="D69" s="80">
        <v>411</v>
      </c>
      <c r="E69" s="80">
        <v>421</v>
      </c>
      <c r="F69" s="80">
        <v>422</v>
      </c>
      <c r="G69" s="80">
        <v>423</v>
      </c>
      <c r="H69" s="80">
        <v>424</v>
      </c>
      <c r="I69" s="80">
        <v>425</v>
      </c>
      <c r="J69" s="80">
        <v>431</v>
      </c>
    </row>
    <row r="70" spans="1:10" s="83" customFormat="1">
      <c r="A70" s="87" t="s">
        <v>74</v>
      </c>
      <c r="B70" s="20" t="s">
        <v>325</v>
      </c>
      <c r="C70" s="92">
        <f>SUM(D70:J70)</f>
        <v>0</v>
      </c>
      <c r="D70" s="88">
        <v>0</v>
      </c>
      <c r="E70" s="88">
        <v>0</v>
      </c>
      <c r="F70" s="88">
        <v>0</v>
      </c>
      <c r="G70" s="88">
        <v>0</v>
      </c>
      <c r="H70" s="88">
        <v>0</v>
      </c>
      <c r="I70" s="88">
        <v>0</v>
      </c>
      <c r="J70" s="88">
        <v>0</v>
      </c>
    </row>
    <row r="71" spans="1:10">
      <c r="A71" s="87" t="s">
        <v>76</v>
      </c>
      <c r="B71" s="20" t="s">
        <v>326</v>
      </c>
      <c r="C71" s="92">
        <f t="shared" ref="C71:C91" si="8">SUM(D71:J71)</f>
        <v>0</v>
      </c>
      <c r="D71" s="88">
        <v>0</v>
      </c>
      <c r="E71" s="88">
        <v>0</v>
      </c>
      <c r="F71" s="88">
        <v>0</v>
      </c>
      <c r="G71" s="88">
        <v>0</v>
      </c>
      <c r="H71" s="88">
        <v>0</v>
      </c>
      <c r="I71" s="88">
        <v>0</v>
      </c>
      <c r="J71" s="88">
        <v>0</v>
      </c>
    </row>
    <row r="72" spans="1:10" s="20" customFormat="1">
      <c r="A72" s="87" t="s">
        <v>77</v>
      </c>
      <c r="B72" s="20" t="s">
        <v>327</v>
      </c>
      <c r="C72" s="92">
        <f t="shared" si="8"/>
        <v>324560</v>
      </c>
      <c r="D72" s="88">
        <v>324560</v>
      </c>
      <c r="E72" s="88">
        <v>0</v>
      </c>
      <c r="F72" s="88">
        <v>0</v>
      </c>
      <c r="G72" s="88">
        <v>0</v>
      </c>
      <c r="H72" s="88">
        <v>0</v>
      </c>
      <c r="I72" s="88">
        <v>0</v>
      </c>
      <c r="J72" s="88">
        <v>0</v>
      </c>
    </row>
    <row r="73" spans="1:10" s="20" customFormat="1">
      <c r="A73" s="87" t="s">
        <v>78</v>
      </c>
      <c r="B73" s="20" t="s">
        <v>328</v>
      </c>
      <c r="C73" s="92">
        <f t="shared" si="8"/>
        <v>0</v>
      </c>
      <c r="D73" s="88">
        <v>0</v>
      </c>
      <c r="E73" s="88">
        <v>0</v>
      </c>
      <c r="F73" s="88">
        <v>0</v>
      </c>
      <c r="G73" s="88">
        <v>0</v>
      </c>
      <c r="H73" s="88">
        <v>0</v>
      </c>
      <c r="I73" s="88">
        <v>0</v>
      </c>
      <c r="J73" s="88">
        <v>0</v>
      </c>
    </row>
    <row r="74" spans="1:10">
      <c r="A74" s="87" t="s">
        <v>79</v>
      </c>
      <c r="B74" s="20" t="s">
        <v>329</v>
      </c>
      <c r="C74" s="92">
        <f t="shared" si="8"/>
        <v>77800</v>
      </c>
      <c r="D74" s="88">
        <v>77800</v>
      </c>
      <c r="E74" s="88">
        <v>0</v>
      </c>
      <c r="F74" s="88">
        <v>0</v>
      </c>
      <c r="G74" s="88">
        <v>0</v>
      </c>
      <c r="H74" s="88">
        <v>0</v>
      </c>
      <c r="I74" s="88">
        <v>0</v>
      </c>
      <c r="J74" s="88">
        <v>0</v>
      </c>
    </row>
    <row r="75" spans="1:10">
      <c r="A75" s="87" t="s">
        <v>80</v>
      </c>
      <c r="B75" s="20" t="s">
        <v>330</v>
      </c>
      <c r="C75" s="92">
        <f t="shared" si="8"/>
        <v>0</v>
      </c>
      <c r="D75" s="88">
        <v>0</v>
      </c>
      <c r="E75" s="88">
        <v>0</v>
      </c>
      <c r="F75" s="88">
        <v>0</v>
      </c>
      <c r="G75" s="88">
        <v>0</v>
      </c>
      <c r="H75" s="88">
        <v>0</v>
      </c>
      <c r="I75" s="88">
        <v>0</v>
      </c>
      <c r="J75" s="88">
        <v>0</v>
      </c>
    </row>
    <row r="76" spans="1:10">
      <c r="A76" s="87" t="s">
        <v>81</v>
      </c>
      <c r="B76" s="20" t="s">
        <v>331</v>
      </c>
      <c r="C76" s="92">
        <f t="shared" si="8"/>
        <v>7738990</v>
      </c>
      <c r="D76" s="88">
        <v>98150</v>
      </c>
      <c r="E76" s="88">
        <v>1895650</v>
      </c>
      <c r="F76" s="88">
        <v>1251690</v>
      </c>
      <c r="G76" s="88">
        <v>3787330</v>
      </c>
      <c r="H76" s="88">
        <v>158400</v>
      </c>
      <c r="I76" s="88">
        <v>490770</v>
      </c>
      <c r="J76" s="88">
        <v>57000</v>
      </c>
    </row>
    <row r="77" spans="1:10">
      <c r="A77" s="87" t="s">
        <v>82</v>
      </c>
      <c r="B77" s="20" t="s">
        <v>332</v>
      </c>
      <c r="C77" s="92">
        <f t="shared" si="8"/>
        <v>0</v>
      </c>
      <c r="D77" s="88">
        <v>0</v>
      </c>
      <c r="E77" s="88">
        <v>0</v>
      </c>
      <c r="F77" s="88">
        <v>0</v>
      </c>
      <c r="G77" s="88">
        <v>0</v>
      </c>
      <c r="H77" s="88">
        <v>0</v>
      </c>
      <c r="I77" s="88">
        <v>0</v>
      </c>
      <c r="J77" s="88">
        <v>0</v>
      </c>
    </row>
    <row r="78" spans="1:10">
      <c r="A78" s="87" t="s">
        <v>93</v>
      </c>
      <c r="B78" s="20" t="s">
        <v>333</v>
      </c>
      <c r="C78" s="92">
        <f t="shared" si="8"/>
        <v>57270</v>
      </c>
      <c r="D78" s="88">
        <v>31120</v>
      </c>
      <c r="E78" s="88">
        <v>5980</v>
      </c>
      <c r="F78" s="88">
        <v>0</v>
      </c>
      <c r="G78" s="88">
        <v>2990</v>
      </c>
      <c r="H78" s="88">
        <v>0</v>
      </c>
      <c r="I78" s="88">
        <v>0</v>
      </c>
      <c r="J78" s="88">
        <v>17180</v>
      </c>
    </row>
    <row r="79" spans="1:10">
      <c r="A79" s="87" t="s">
        <v>94</v>
      </c>
      <c r="B79" s="20" t="s">
        <v>334</v>
      </c>
      <c r="C79" s="92">
        <f t="shared" si="8"/>
        <v>0</v>
      </c>
      <c r="D79" s="88">
        <v>0</v>
      </c>
      <c r="E79" s="88">
        <v>0</v>
      </c>
      <c r="F79" s="88">
        <v>0</v>
      </c>
      <c r="G79" s="88">
        <v>0</v>
      </c>
      <c r="H79" s="88">
        <v>0</v>
      </c>
      <c r="I79" s="88">
        <v>0</v>
      </c>
      <c r="J79" s="88">
        <v>0</v>
      </c>
    </row>
    <row r="80" spans="1:10">
      <c r="A80" s="87" t="s">
        <v>151</v>
      </c>
      <c r="B80" s="20" t="s">
        <v>335</v>
      </c>
      <c r="C80" s="92">
        <f t="shared" si="8"/>
        <v>0</v>
      </c>
      <c r="D80" s="88">
        <v>0</v>
      </c>
      <c r="E80" s="88">
        <v>0</v>
      </c>
      <c r="F80" s="88">
        <v>0</v>
      </c>
      <c r="G80" s="88">
        <v>0</v>
      </c>
      <c r="H80" s="88">
        <v>0</v>
      </c>
      <c r="I80" s="88">
        <v>0</v>
      </c>
      <c r="J80" s="88">
        <v>0</v>
      </c>
    </row>
    <row r="81" spans="1:10">
      <c r="A81" s="87" t="s">
        <v>153</v>
      </c>
      <c r="B81" s="20" t="s">
        <v>336</v>
      </c>
      <c r="C81" s="92">
        <f t="shared" si="8"/>
        <v>0</v>
      </c>
      <c r="D81" s="88">
        <v>0</v>
      </c>
      <c r="E81" s="88">
        <v>0</v>
      </c>
      <c r="F81" s="88">
        <v>0</v>
      </c>
      <c r="G81" s="88">
        <v>0</v>
      </c>
      <c r="H81" s="88">
        <v>0</v>
      </c>
      <c r="I81" s="88">
        <v>0</v>
      </c>
      <c r="J81" s="88">
        <v>0</v>
      </c>
    </row>
    <row r="82" spans="1:10">
      <c r="A82" s="87" t="s">
        <v>155</v>
      </c>
      <c r="B82" s="20" t="s">
        <v>337</v>
      </c>
      <c r="C82" s="92">
        <f t="shared" si="8"/>
        <v>181070</v>
      </c>
      <c r="D82" s="88">
        <v>0</v>
      </c>
      <c r="E82" s="88">
        <v>0</v>
      </c>
      <c r="F82" s="88">
        <v>0</v>
      </c>
      <c r="G82" s="88">
        <v>0</v>
      </c>
      <c r="H82" s="88">
        <v>0</v>
      </c>
      <c r="I82" s="88">
        <v>181070</v>
      </c>
      <c r="J82" s="88">
        <v>0</v>
      </c>
    </row>
    <row r="83" spans="1:10" s="7" customFormat="1">
      <c r="A83" s="87" t="s">
        <v>157</v>
      </c>
      <c r="B83" s="20" t="s">
        <v>338</v>
      </c>
      <c r="C83" s="92">
        <f t="shared" si="8"/>
        <v>188910</v>
      </c>
      <c r="D83" s="88">
        <v>0</v>
      </c>
      <c r="E83" s="88">
        <v>0</v>
      </c>
      <c r="F83" s="88">
        <v>20050</v>
      </c>
      <c r="G83" s="88">
        <v>147110</v>
      </c>
      <c r="H83" s="88">
        <v>0</v>
      </c>
      <c r="I83" s="88">
        <v>21750</v>
      </c>
      <c r="J83" s="88">
        <v>0</v>
      </c>
    </row>
    <row r="84" spans="1:10" s="10" customFormat="1">
      <c r="A84" s="87" t="s">
        <v>159</v>
      </c>
      <c r="B84" s="20" t="s">
        <v>339</v>
      </c>
      <c r="C84" s="92">
        <f t="shared" si="8"/>
        <v>0</v>
      </c>
      <c r="D84" s="88">
        <v>0</v>
      </c>
      <c r="E84" s="88">
        <v>0</v>
      </c>
      <c r="F84" s="88">
        <v>0</v>
      </c>
      <c r="G84" s="88">
        <v>0</v>
      </c>
      <c r="H84" s="88">
        <v>0</v>
      </c>
      <c r="I84" s="88">
        <v>0</v>
      </c>
      <c r="J84" s="88">
        <v>0</v>
      </c>
    </row>
    <row r="85" spans="1:10" s="10" customFormat="1">
      <c r="A85" s="87" t="s">
        <v>305</v>
      </c>
      <c r="B85" s="20" t="s">
        <v>340</v>
      </c>
      <c r="C85" s="92">
        <f t="shared" si="8"/>
        <v>0</v>
      </c>
      <c r="D85" s="88">
        <v>0</v>
      </c>
      <c r="E85" s="88">
        <v>0</v>
      </c>
      <c r="F85" s="88">
        <v>0</v>
      </c>
      <c r="G85" s="88">
        <v>0</v>
      </c>
      <c r="H85" s="88">
        <v>0</v>
      </c>
      <c r="I85" s="88">
        <v>0</v>
      </c>
      <c r="J85" s="88">
        <v>0</v>
      </c>
    </row>
    <row r="86" spans="1:10" s="10" customFormat="1">
      <c r="A86" s="87" t="s">
        <v>129</v>
      </c>
      <c r="B86" s="20" t="s">
        <v>341</v>
      </c>
      <c r="C86" s="92">
        <f t="shared" si="8"/>
        <v>20350</v>
      </c>
      <c r="D86" s="88">
        <v>0</v>
      </c>
      <c r="E86" s="88">
        <v>0</v>
      </c>
      <c r="F86" s="88">
        <v>0</v>
      </c>
      <c r="G86" s="88">
        <v>0</v>
      </c>
      <c r="H86" s="88">
        <v>0</v>
      </c>
      <c r="I86" s="88">
        <v>0</v>
      </c>
      <c r="J86" s="88">
        <v>20350</v>
      </c>
    </row>
    <row r="87" spans="1:10" s="10" customFormat="1">
      <c r="A87" s="87" t="s">
        <v>306</v>
      </c>
      <c r="B87" s="20" t="s">
        <v>342</v>
      </c>
      <c r="C87" s="92">
        <f t="shared" si="8"/>
        <v>10003790</v>
      </c>
      <c r="D87" s="88">
        <v>0</v>
      </c>
      <c r="E87" s="88">
        <v>0</v>
      </c>
      <c r="F87" s="88">
        <v>0</v>
      </c>
      <c r="G87" s="88">
        <v>0</v>
      </c>
      <c r="H87" s="88">
        <v>10003790</v>
      </c>
      <c r="I87" s="88">
        <v>0</v>
      </c>
      <c r="J87" s="88">
        <v>0</v>
      </c>
    </row>
    <row r="88" spans="1:10" s="10" customFormat="1">
      <c r="A88" s="87" t="s">
        <v>216</v>
      </c>
      <c r="B88" s="20" t="s">
        <v>343</v>
      </c>
      <c r="C88" s="92">
        <f t="shared" si="8"/>
        <v>0</v>
      </c>
      <c r="D88" s="88">
        <v>0</v>
      </c>
      <c r="E88" s="88">
        <v>0</v>
      </c>
      <c r="F88" s="88">
        <v>0</v>
      </c>
      <c r="G88" s="88">
        <v>0</v>
      </c>
      <c r="H88" s="88">
        <v>0</v>
      </c>
      <c r="I88" s="88">
        <v>0</v>
      </c>
      <c r="J88" s="88">
        <v>0</v>
      </c>
    </row>
    <row r="89" spans="1:10" s="10" customFormat="1">
      <c r="A89" s="87" t="s">
        <v>347</v>
      </c>
      <c r="B89" s="20" t="s">
        <v>344</v>
      </c>
      <c r="C89" s="92">
        <f t="shared" si="8"/>
        <v>0</v>
      </c>
      <c r="D89" s="88">
        <v>0</v>
      </c>
      <c r="E89" s="88">
        <v>0</v>
      </c>
      <c r="F89" s="88">
        <v>0</v>
      </c>
      <c r="G89" s="88">
        <v>0</v>
      </c>
      <c r="H89" s="88">
        <v>0</v>
      </c>
      <c r="I89" s="88">
        <v>0</v>
      </c>
      <c r="J89" s="88">
        <v>0</v>
      </c>
    </row>
    <row r="90" spans="1:10" s="10" customFormat="1">
      <c r="A90" s="87" t="s">
        <v>218</v>
      </c>
      <c r="B90" s="20" t="s">
        <v>345</v>
      </c>
      <c r="C90" s="92">
        <f t="shared" si="8"/>
        <v>173690</v>
      </c>
      <c r="D90" s="88">
        <v>141120</v>
      </c>
      <c r="E90" s="88">
        <v>29920</v>
      </c>
      <c r="F90" s="88">
        <v>0</v>
      </c>
      <c r="G90" s="88">
        <v>0</v>
      </c>
      <c r="H90" s="88">
        <v>0</v>
      </c>
      <c r="I90" s="88">
        <v>0</v>
      </c>
      <c r="J90" s="88">
        <v>2650</v>
      </c>
    </row>
    <row r="91" spans="1:10">
      <c r="A91" s="87" t="s">
        <v>348</v>
      </c>
      <c r="B91" s="20" t="s">
        <v>346</v>
      </c>
      <c r="C91" s="92">
        <f t="shared" si="8"/>
        <v>3460370</v>
      </c>
      <c r="D91" s="88">
        <v>340740</v>
      </c>
      <c r="E91" s="88">
        <v>2521550</v>
      </c>
      <c r="F91" s="88">
        <v>0</v>
      </c>
      <c r="G91" s="88">
        <v>0</v>
      </c>
      <c r="H91" s="88">
        <v>0</v>
      </c>
      <c r="I91" s="88">
        <v>0</v>
      </c>
      <c r="J91" s="88">
        <v>598080</v>
      </c>
    </row>
    <row r="92" spans="1:10" s="7" customFormat="1">
      <c r="A92" s="67"/>
      <c r="B92" s="89" t="s">
        <v>300</v>
      </c>
      <c r="C92" s="72">
        <f t="shared" ref="C92:J92" si="9">SUM(C70:C91)</f>
        <v>22226800</v>
      </c>
      <c r="D92" s="72">
        <f t="shared" si="9"/>
        <v>1013490</v>
      </c>
      <c r="E92" s="72">
        <f t="shared" si="9"/>
        <v>4453100</v>
      </c>
      <c r="F92" s="72">
        <f t="shared" si="9"/>
        <v>1271740</v>
      </c>
      <c r="G92" s="72">
        <f t="shared" si="9"/>
        <v>3937430</v>
      </c>
      <c r="H92" s="72">
        <f t="shared" si="9"/>
        <v>10162190</v>
      </c>
      <c r="I92" s="72">
        <f t="shared" si="9"/>
        <v>693590</v>
      </c>
      <c r="J92" s="72">
        <f t="shared" si="9"/>
        <v>695260</v>
      </c>
    </row>
    <row r="94" spans="1:10" s="9" customFormat="1" ht="12">
      <c r="A94" s="71" t="s">
        <v>69</v>
      </c>
      <c r="B94" s="71" t="s">
        <v>349</v>
      </c>
      <c r="C94" s="71" t="s">
        <v>239</v>
      </c>
      <c r="D94" s="71" t="s">
        <v>394</v>
      </c>
      <c r="E94" s="71" t="s">
        <v>401</v>
      </c>
      <c r="F94" s="71" t="s">
        <v>402</v>
      </c>
      <c r="G94" s="71" t="s">
        <v>403</v>
      </c>
      <c r="H94" s="71" t="s">
        <v>404</v>
      </c>
      <c r="I94" s="71" t="s">
        <v>405</v>
      </c>
      <c r="J94" s="71" t="s">
        <v>406</v>
      </c>
    </row>
    <row r="95" spans="1:10" s="80" customFormat="1">
      <c r="A95" s="93" t="s">
        <v>350</v>
      </c>
      <c r="D95" s="80">
        <v>411</v>
      </c>
      <c r="E95" s="80">
        <v>421</v>
      </c>
      <c r="F95" s="80">
        <v>422</v>
      </c>
      <c r="G95" s="80">
        <v>423</v>
      </c>
      <c r="H95" s="80">
        <v>424</v>
      </c>
      <c r="I95" s="80">
        <v>425</v>
      </c>
      <c r="J95" s="80">
        <v>431</v>
      </c>
    </row>
    <row r="96" spans="1:10" s="83" customFormat="1">
      <c r="A96" s="87" t="s">
        <v>74</v>
      </c>
      <c r="B96" s="20" t="s">
        <v>351</v>
      </c>
      <c r="C96" s="92">
        <f>SUM(D96:J96)</f>
        <v>958800</v>
      </c>
      <c r="D96" s="88">
        <v>0</v>
      </c>
      <c r="E96" s="88">
        <v>0</v>
      </c>
      <c r="F96" s="88">
        <v>0</v>
      </c>
      <c r="G96" s="88">
        <v>582880</v>
      </c>
      <c r="H96" s="88">
        <v>346000</v>
      </c>
      <c r="I96" s="88">
        <v>29920</v>
      </c>
      <c r="J96" s="88">
        <v>0</v>
      </c>
    </row>
    <row r="97" spans="1:10">
      <c r="A97" s="87" t="s">
        <v>76</v>
      </c>
      <c r="B97" s="20" t="s">
        <v>352</v>
      </c>
      <c r="C97" s="92">
        <f t="shared" ref="C97:C106" si="10">SUM(D97:J97)</f>
        <v>407400</v>
      </c>
      <c r="D97" s="88">
        <v>32190</v>
      </c>
      <c r="E97" s="88">
        <v>0</v>
      </c>
      <c r="F97" s="88">
        <v>150000</v>
      </c>
      <c r="G97" s="88">
        <v>59850</v>
      </c>
      <c r="H97" s="88">
        <v>105510</v>
      </c>
      <c r="I97" s="88">
        <v>59850</v>
      </c>
      <c r="J97" s="88">
        <v>0</v>
      </c>
    </row>
    <row r="98" spans="1:10" s="20" customFormat="1">
      <c r="A98" s="87" t="s">
        <v>77</v>
      </c>
      <c r="B98" s="20" t="s">
        <v>353</v>
      </c>
      <c r="C98" s="92">
        <f t="shared" si="10"/>
        <v>19820</v>
      </c>
      <c r="D98" s="88">
        <v>0</v>
      </c>
      <c r="E98" s="88">
        <v>0</v>
      </c>
      <c r="F98" s="88">
        <v>0</v>
      </c>
      <c r="G98" s="88">
        <v>0</v>
      </c>
      <c r="H98" s="88">
        <v>0</v>
      </c>
      <c r="I98" s="88">
        <v>19820</v>
      </c>
      <c r="J98" s="88">
        <v>0</v>
      </c>
    </row>
    <row r="99" spans="1:10" s="20" customFormat="1">
      <c r="A99" s="87" t="s">
        <v>78</v>
      </c>
      <c r="B99" s="20" t="s">
        <v>354</v>
      </c>
      <c r="C99" s="92">
        <f t="shared" si="10"/>
        <v>0</v>
      </c>
      <c r="D99" s="88">
        <v>0</v>
      </c>
      <c r="E99" s="88">
        <v>0</v>
      </c>
      <c r="F99" s="88">
        <v>0</v>
      </c>
      <c r="G99" s="88">
        <v>0</v>
      </c>
      <c r="H99" s="88">
        <v>0</v>
      </c>
      <c r="I99" s="88">
        <v>0</v>
      </c>
      <c r="J99" s="88">
        <v>0</v>
      </c>
    </row>
    <row r="100" spans="1:10">
      <c r="A100" s="87" t="s">
        <v>79</v>
      </c>
      <c r="B100" s="20" t="s">
        <v>355</v>
      </c>
      <c r="C100" s="92">
        <f t="shared" si="10"/>
        <v>0</v>
      </c>
      <c r="D100" s="88">
        <v>0</v>
      </c>
      <c r="E100" s="88">
        <v>0</v>
      </c>
      <c r="F100" s="88">
        <v>0</v>
      </c>
      <c r="G100" s="88">
        <v>0</v>
      </c>
      <c r="H100" s="88">
        <v>0</v>
      </c>
      <c r="I100" s="88">
        <v>0</v>
      </c>
      <c r="J100" s="88">
        <v>0</v>
      </c>
    </row>
    <row r="101" spans="1:10">
      <c r="A101" s="87" t="s">
        <v>80</v>
      </c>
      <c r="B101" s="20" t="s">
        <v>356</v>
      </c>
      <c r="C101" s="92">
        <f t="shared" si="10"/>
        <v>767530</v>
      </c>
      <c r="D101" s="88">
        <v>767530</v>
      </c>
      <c r="E101" s="88">
        <v>0</v>
      </c>
      <c r="F101" s="88">
        <v>0</v>
      </c>
      <c r="G101" s="88">
        <v>0</v>
      </c>
      <c r="H101" s="88">
        <v>0</v>
      </c>
      <c r="I101" s="88">
        <v>0</v>
      </c>
      <c r="J101" s="88">
        <v>0</v>
      </c>
    </row>
    <row r="102" spans="1:10">
      <c r="A102" s="87" t="s">
        <v>81</v>
      </c>
      <c r="B102" s="20" t="s">
        <v>357</v>
      </c>
      <c r="C102" s="92">
        <f t="shared" si="10"/>
        <v>0</v>
      </c>
      <c r="D102" s="88">
        <v>0</v>
      </c>
      <c r="E102" s="88">
        <v>0</v>
      </c>
      <c r="F102" s="88">
        <v>0</v>
      </c>
      <c r="G102" s="88">
        <v>0</v>
      </c>
      <c r="H102" s="88">
        <v>0</v>
      </c>
      <c r="I102" s="88">
        <v>0</v>
      </c>
      <c r="J102" s="88">
        <v>0</v>
      </c>
    </row>
    <row r="103" spans="1:10">
      <c r="A103" s="87" t="s">
        <v>82</v>
      </c>
      <c r="B103" s="20" t="s">
        <v>358</v>
      </c>
      <c r="C103" s="92">
        <f t="shared" si="10"/>
        <v>0</v>
      </c>
      <c r="D103" s="88">
        <v>0</v>
      </c>
      <c r="E103" s="88">
        <v>0</v>
      </c>
      <c r="F103" s="88">
        <v>0</v>
      </c>
      <c r="G103" s="88">
        <v>0</v>
      </c>
      <c r="H103" s="88">
        <v>0</v>
      </c>
      <c r="I103" s="88">
        <v>0</v>
      </c>
      <c r="J103" s="88">
        <v>0</v>
      </c>
    </row>
    <row r="104" spans="1:10">
      <c r="A104" s="87" t="s">
        <v>93</v>
      </c>
      <c r="B104" s="20" t="s">
        <v>359</v>
      </c>
      <c r="C104" s="92">
        <f t="shared" si="10"/>
        <v>150000</v>
      </c>
      <c r="D104" s="88">
        <v>0</v>
      </c>
      <c r="E104" s="88">
        <v>90000</v>
      </c>
      <c r="F104" s="88">
        <v>0</v>
      </c>
      <c r="G104" s="88">
        <v>0</v>
      </c>
      <c r="H104" s="88">
        <v>60000</v>
      </c>
      <c r="I104" s="88">
        <v>0</v>
      </c>
      <c r="J104" s="88">
        <v>0</v>
      </c>
    </row>
    <row r="105" spans="1:10">
      <c r="A105" s="87" t="s">
        <v>94</v>
      </c>
      <c r="B105" s="20" t="s">
        <v>360</v>
      </c>
      <c r="C105" s="92">
        <f t="shared" si="10"/>
        <v>329470</v>
      </c>
      <c r="D105" s="88">
        <v>329470</v>
      </c>
      <c r="E105" s="88">
        <v>0</v>
      </c>
      <c r="F105" s="88">
        <v>0</v>
      </c>
      <c r="G105" s="88">
        <v>0</v>
      </c>
      <c r="H105" s="88">
        <v>0</v>
      </c>
      <c r="I105" s="88">
        <v>0</v>
      </c>
      <c r="J105" s="88">
        <v>0</v>
      </c>
    </row>
    <row r="106" spans="1:10">
      <c r="A106" s="87" t="s">
        <v>362</v>
      </c>
      <c r="B106" s="20" t="s">
        <v>361</v>
      </c>
      <c r="C106" s="92">
        <f t="shared" si="10"/>
        <v>45650</v>
      </c>
      <c r="D106" s="88">
        <v>0</v>
      </c>
      <c r="E106" s="88">
        <v>29920</v>
      </c>
      <c r="F106" s="88">
        <v>2230</v>
      </c>
      <c r="G106" s="88">
        <v>0</v>
      </c>
      <c r="H106" s="88">
        <v>0</v>
      </c>
      <c r="I106" s="88">
        <v>13500</v>
      </c>
      <c r="J106" s="88">
        <v>0</v>
      </c>
    </row>
    <row r="107" spans="1:10" s="7" customFormat="1">
      <c r="A107" s="67"/>
      <c r="B107" s="89" t="s">
        <v>300</v>
      </c>
      <c r="C107" s="72">
        <f t="shared" ref="C107:J107" si="11">SUM(C96:C106)</f>
        <v>2678670</v>
      </c>
      <c r="D107" s="72">
        <f t="shared" si="11"/>
        <v>1129190</v>
      </c>
      <c r="E107" s="72">
        <f t="shared" si="11"/>
        <v>119920</v>
      </c>
      <c r="F107" s="72">
        <f t="shared" si="11"/>
        <v>152230</v>
      </c>
      <c r="G107" s="72">
        <f t="shared" si="11"/>
        <v>642730</v>
      </c>
      <c r="H107" s="72">
        <f t="shared" si="11"/>
        <v>511510</v>
      </c>
      <c r="I107" s="72">
        <f t="shared" si="11"/>
        <v>123090</v>
      </c>
      <c r="J107" s="72">
        <f t="shared" si="11"/>
        <v>0</v>
      </c>
    </row>
    <row r="109" spans="1:10" s="9" customFormat="1" ht="12">
      <c r="A109" s="71" t="s">
        <v>69</v>
      </c>
      <c r="B109" s="71" t="s">
        <v>375</v>
      </c>
      <c r="C109" s="71" t="s">
        <v>239</v>
      </c>
      <c r="D109" s="71" t="s">
        <v>394</v>
      </c>
      <c r="E109" s="71" t="s">
        <v>401</v>
      </c>
      <c r="F109" s="71" t="s">
        <v>402</v>
      </c>
      <c r="G109" s="71" t="s">
        <v>403</v>
      </c>
      <c r="H109" s="71" t="s">
        <v>404</v>
      </c>
      <c r="I109" s="71" t="s">
        <v>405</v>
      </c>
      <c r="J109" s="71" t="s">
        <v>406</v>
      </c>
    </row>
    <row r="110" spans="1:10" s="80" customFormat="1">
      <c r="A110" s="9"/>
      <c r="D110" s="80">
        <v>411</v>
      </c>
      <c r="E110" s="80">
        <v>421</v>
      </c>
      <c r="F110" s="80">
        <v>422</v>
      </c>
      <c r="G110" s="80">
        <v>423</v>
      </c>
      <c r="H110" s="80">
        <v>424</v>
      </c>
      <c r="I110" s="80">
        <v>425</v>
      </c>
      <c r="J110" s="80">
        <v>431</v>
      </c>
    </row>
    <row r="111" spans="1:10" s="10" customFormat="1">
      <c r="A111" s="90" t="s">
        <v>366</v>
      </c>
      <c r="B111" s="91" t="s">
        <v>364</v>
      </c>
      <c r="C111" s="92">
        <f>SUM(D111:J111)</f>
        <v>0</v>
      </c>
      <c r="D111" s="92">
        <f>+D112</f>
        <v>0</v>
      </c>
      <c r="E111" s="92">
        <f t="shared" ref="E111:J111" si="12">+E112</f>
        <v>0</v>
      </c>
      <c r="F111" s="92">
        <f t="shared" si="12"/>
        <v>0</v>
      </c>
      <c r="G111" s="92">
        <f t="shared" si="12"/>
        <v>0</v>
      </c>
      <c r="H111" s="92">
        <f t="shared" si="12"/>
        <v>0</v>
      </c>
      <c r="I111" s="92">
        <f t="shared" si="12"/>
        <v>0</v>
      </c>
      <c r="J111" s="92">
        <f t="shared" si="12"/>
        <v>0</v>
      </c>
    </row>
    <row r="112" spans="1:10">
      <c r="A112" s="87" t="s">
        <v>363</v>
      </c>
      <c r="B112" s="20" t="s">
        <v>365</v>
      </c>
      <c r="C112" s="84">
        <f>SUM(D112:J112)</f>
        <v>0</v>
      </c>
      <c r="D112" s="88">
        <v>0</v>
      </c>
      <c r="E112" s="88">
        <v>0</v>
      </c>
      <c r="F112" s="88">
        <v>0</v>
      </c>
      <c r="G112" s="88">
        <v>0</v>
      </c>
      <c r="H112" s="88">
        <v>0</v>
      </c>
      <c r="I112" s="88">
        <v>0</v>
      </c>
      <c r="J112" s="88">
        <v>0</v>
      </c>
    </row>
    <row r="113" spans="1:15" s="10" customFormat="1">
      <c r="A113" s="90" t="s">
        <v>367</v>
      </c>
      <c r="B113" s="91" t="s">
        <v>369</v>
      </c>
      <c r="C113" s="92">
        <f t="shared" ref="C113:C123" si="13">SUM(D113:J113)</f>
        <v>1496250</v>
      </c>
      <c r="D113" s="92">
        <f>+D114</f>
        <v>0</v>
      </c>
      <c r="E113" s="92">
        <f t="shared" ref="E113:J113" si="14">+E114</f>
        <v>1496250</v>
      </c>
      <c r="F113" s="92">
        <f t="shared" si="14"/>
        <v>0</v>
      </c>
      <c r="G113" s="92">
        <f t="shared" si="14"/>
        <v>0</v>
      </c>
      <c r="H113" s="92">
        <f t="shared" si="14"/>
        <v>0</v>
      </c>
      <c r="I113" s="92">
        <f t="shared" si="14"/>
        <v>0</v>
      </c>
      <c r="J113" s="92">
        <f t="shared" si="14"/>
        <v>0</v>
      </c>
    </row>
    <row r="114" spans="1:15">
      <c r="A114" s="87" t="s">
        <v>368</v>
      </c>
      <c r="B114" s="20" t="s">
        <v>370</v>
      </c>
      <c r="C114" s="84">
        <f t="shared" si="13"/>
        <v>1496250</v>
      </c>
      <c r="D114" s="88">
        <v>0</v>
      </c>
      <c r="E114" s="88">
        <v>1496250</v>
      </c>
      <c r="F114" s="88">
        <v>0</v>
      </c>
      <c r="G114" s="88">
        <v>0</v>
      </c>
      <c r="H114" s="88">
        <v>0</v>
      </c>
      <c r="I114" s="88">
        <v>0</v>
      </c>
      <c r="J114" s="88">
        <v>0</v>
      </c>
    </row>
    <row r="115" spans="1:15" s="10" customFormat="1">
      <c r="A115" s="90" t="s">
        <v>386</v>
      </c>
      <c r="B115" s="91" t="s">
        <v>387</v>
      </c>
      <c r="C115" s="92">
        <f t="shared" si="13"/>
        <v>138762330</v>
      </c>
      <c r="D115" s="92">
        <f>+D116</f>
        <v>0</v>
      </c>
      <c r="E115" s="92">
        <f t="shared" ref="E115:J115" si="15">+E116</f>
        <v>0</v>
      </c>
      <c r="F115" s="92">
        <f t="shared" si="15"/>
        <v>81489000</v>
      </c>
      <c r="G115" s="92">
        <f t="shared" si="15"/>
        <v>36320000</v>
      </c>
      <c r="H115" s="92">
        <f t="shared" si="15"/>
        <v>20953330</v>
      </c>
      <c r="I115" s="92">
        <f t="shared" si="15"/>
        <v>0</v>
      </c>
      <c r="J115" s="92">
        <f t="shared" si="15"/>
        <v>0</v>
      </c>
    </row>
    <row r="116" spans="1:15">
      <c r="A116" s="87" t="s">
        <v>386</v>
      </c>
      <c r="B116" s="20" t="s">
        <v>388</v>
      </c>
      <c r="C116" s="84">
        <f t="shared" si="13"/>
        <v>138762330</v>
      </c>
      <c r="D116" s="88">
        <v>0</v>
      </c>
      <c r="E116" s="88">
        <v>0</v>
      </c>
      <c r="F116" s="88">
        <f>+'plan de obras2015'!F62</f>
        <v>81489000</v>
      </c>
      <c r="G116" s="88">
        <f>+'plan de obras2015'!F89</f>
        <v>36320000</v>
      </c>
      <c r="H116" s="88">
        <f>+'plan de obras2015'!F104</f>
        <v>20953330</v>
      </c>
      <c r="I116" s="88">
        <v>0</v>
      </c>
      <c r="J116" s="88">
        <v>0</v>
      </c>
    </row>
    <row r="117" spans="1:15" s="10" customFormat="1">
      <c r="A117" s="90" t="s">
        <v>371</v>
      </c>
      <c r="B117" s="91" t="s">
        <v>372</v>
      </c>
      <c r="C117" s="84">
        <f t="shared" si="13"/>
        <v>0</v>
      </c>
      <c r="D117" s="92">
        <f>+D118</f>
        <v>0</v>
      </c>
      <c r="E117" s="92">
        <f t="shared" ref="E117:J117" si="16">+E118</f>
        <v>0</v>
      </c>
      <c r="F117" s="92">
        <f t="shared" si="16"/>
        <v>0</v>
      </c>
      <c r="G117" s="92">
        <f t="shared" si="16"/>
        <v>0</v>
      </c>
      <c r="H117" s="92">
        <f t="shared" si="16"/>
        <v>0</v>
      </c>
      <c r="I117" s="92">
        <f t="shared" si="16"/>
        <v>0</v>
      </c>
      <c r="J117" s="92">
        <f t="shared" si="16"/>
        <v>0</v>
      </c>
    </row>
    <row r="118" spans="1:15">
      <c r="A118" s="87" t="s">
        <v>374</v>
      </c>
      <c r="B118" s="20" t="s">
        <v>373</v>
      </c>
      <c r="C118" s="84">
        <f t="shared" si="13"/>
        <v>0</v>
      </c>
      <c r="D118" s="88">
        <v>0</v>
      </c>
      <c r="E118" s="88">
        <v>0</v>
      </c>
      <c r="F118" s="88">
        <v>0</v>
      </c>
      <c r="G118" s="88">
        <v>0</v>
      </c>
      <c r="H118" s="88">
        <v>0</v>
      </c>
      <c r="I118" s="88">
        <v>0</v>
      </c>
      <c r="J118" s="88">
        <v>0</v>
      </c>
    </row>
    <row r="119" spans="1:15" s="10" customFormat="1">
      <c r="A119" s="90" t="s">
        <v>376</v>
      </c>
      <c r="B119" s="91" t="s">
        <v>377</v>
      </c>
      <c r="C119" s="84">
        <f t="shared" si="13"/>
        <v>0</v>
      </c>
      <c r="D119" s="92">
        <f>+D120</f>
        <v>0</v>
      </c>
      <c r="E119" s="92">
        <f t="shared" ref="E119:J119" si="17">+E120</f>
        <v>0</v>
      </c>
      <c r="F119" s="92">
        <f t="shared" si="17"/>
        <v>0</v>
      </c>
      <c r="G119" s="92">
        <f t="shared" si="17"/>
        <v>0</v>
      </c>
      <c r="H119" s="92">
        <f t="shared" si="17"/>
        <v>0</v>
      </c>
      <c r="I119" s="92">
        <f t="shared" si="17"/>
        <v>0</v>
      </c>
      <c r="J119" s="92">
        <f t="shared" si="17"/>
        <v>0</v>
      </c>
      <c r="O119" s="86"/>
    </row>
    <row r="120" spans="1:15">
      <c r="A120" s="87" t="s">
        <v>378</v>
      </c>
      <c r="B120" s="20" t="s">
        <v>379</v>
      </c>
      <c r="C120" s="84">
        <f t="shared" si="13"/>
        <v>0</v>
      </c>
      <c r="D120" s="88">
        <v>0</v>
      </c>
      <c r="E120" s="88">
        <v>0</v>
      </c>
      <c r="F120" s="88">
        <v>0</v>
      </c>
      <c r="G120" s="88">
        <v>0</v>
      </c>
      <c r="H120" s="88">
        <v>0</v>
      </c>
      <c r="I120" s="88">
        <v>0</v>
      </c>
      <c r="J120" s="88">
        <v>0</v>
      </c>
    </row>
    <row r="121" spans="1:15" s="10" customFormat="1">
      <c r="A121" s="90" t="s">
        <v>380</v>
      </c>
      <c r="B121" s="91" t="s">
        <v>381</v>
      </c>
      <c r="C121" s="84">
        <f t="shared" si="13"/>
        <v>0</v>
      </c>
      <c r="D121" s="92">
        <f>SUM(D122:D123)</f>
        <v>0</v>
      </c>
      <c r="E121" s="92">
        <f t="shared" ref="E121:J121" si="18">SUM(E122:E123)</f>
        <v>0</v>
      </c>
      <c r="F121" s="92">
        <f t="shared" si="18"/>
        <v>0</v>
      </c>
      <c r="G121" s="92">
        <f t="shared" si="18"/>
        <v>0</v>
      </c>
      <c r="H121" s="92">
        <f t="shared" si="18"/>
        <v>0</v>
      </c>
      <c r="I121" s="92">
        <f t="shared" si="18"/>
        <v>0</v>
      </c>
      <c r="J121" s="92">
        <f t="shared" si="18"/>
        <v>0</v>
      </c>
    </row>
    <row r="122" spans="1:15">
      <c r="A122" s="87" t="s">
        <v>382</v>
      </c>
      <c r="B122" s="20" t="s">
        <v>384</v>
      </c>
      <c r="C122" s="84">
        <f t="shared" si="13"/>
        <v>0</v>
      </c>
      <c r="D122" s="88">
        <v>0</v>
      </c>
      <c r="E122" s="88">
        <v>0</v>
      </c>
      <c r="F122" s="88">
        <v>0</v>
      </c>
      <c r="G122" s="88">
        <v>0</v>
      </c>
      <c r="H122" s="88">
        <v>0</v>
      </c>
      <c r="I122" s="88">
        <v>0</v>
      </c>
      <c r="J122" s="88">
        <v>0</v>
      </c>
    </row>
    <row r="123" spans="1:15">
      <c r="A123" s="87" t="s">
        <v>383</v>
      </c>
      <c r="B123" s="20" t="s">
        <v>385</v>
      </c>
      <c r="C123" s="84">
        <f t="shared" si="13"/>
        <v>0</v>
      </c>
      <c r="D123" s="88">
        <v>0</v>
      </c>
      <c r="E123" s="88">
        <v>0</v>
      </c>
      <c r="F123" s="88">
        <v>0</v>
      </c>
      <c r="G123" s="88">
        <v>0</v>
      </c>
      <c r="H123" s="88">
        <v>0</v>
      </c>
      <c r="I123" s="88">
        <v>0</v>
      </c>
      <c r="J123" s="88">
        <v>0</v>
      </c>
    </row>
    <row r="124" spans="1:15" s="7" customFormat="1">
      <c r="A124" s="67"/>
      <c r="B124" s="89" t="s">
        <v>300</v>
      </c>
      <c r="C124" s="72">
        <f>+C111+C113+C115+C117+C119+C121</f>
        <v>140258580</v>
      </c>
      <c r="D124" s="72">
        <f t="shared" ref="D124:J124" si="19">+D111+D113+D115+D117+D119+D121</f>
        <v>0</v>
      </c>
      <c r="E124" s="72">
        <f t="shared" si="19"/>
        <v>1496250</v>
      </c>
      <c r="F124" s="72">
        <f t="shared" si="19"/>
        <v>81489000</v>
      </c>
      <c r="G124" s="72">
        <f t="shared" si="19"/>
        <v>36320000</v>
      </c>
      <c r="H124" s="72">
        <f t="shared" si="19"/>
        <v>20953330</v>
      </c>
      <c r="I124" s="72">
        <f t="shared" si="19"/>
        <v>0</v>
      </c>
      <c r="J124" s="72">
        <f t="shared" si="19"/>
        <v>0</v>
      </c>
    </row>
    <row r="125" spans="1:15">
      <c r="A125" s="67"/>
      <c r="B125" s="89" t="s">
        <v>393</v>
      </c>
      <c r="C125" s="72">
        <f>+C28+C46+C66+C92+C107+C124</f>
        <v>200633470</v>
      </c>
      <c r="D125" s="72">
        <f t="shared" ref="D125:J125" si="20">+D28+D46+D66+D92+D107+D124</f>
        <v>3785330</v>
      </c>
      <c r="E125" s="72">
        <f t="shared" si="20"/>
        <v>9413470</v>
      </c>
      <c r="F125" s="72">
        <f t="shared" si="20"/>
        <v>92955010</v>
      </c>
      <c r="G125" s="72">
        <f t="shared" si="20"/>
        <v>48065740</v>
      </c>
      <c r="H125" s="72">
        <f t="shared" si="20"/>
        <v>33643100</v>
      </c>
      <c r="I125" s="72">
        <f t="shared" si="20"/>
        <v>8718850</v>
      </c>
      <c r="J125" s="72">
        <f t="shared" si="20"/>
        <v>4051970</v>
      </c>
    </row>
    <row r="127" spans="1:15">
      <c r="D127" s="94"/>
      <c r="E127" s="94"/>
      <c r="J127" s="94"/>
    </row>
  </sheetData>
  <mergeCells count="3">
    <mergeCell ref="A8:J8"/>
    <mergeCell ref="A9:J9"/>
    <mergeCell ref="A10:J10"/>
  </mergeCells>
  <printOptions horizontalCentered="1"/>
  <pageMargins left="0" right="0" top="0.43307086614173229" bottom="0.43307086614173229" header="0.31496062992125984" footer="0.31496062992125984"/>
  <pageSetup paperSize="9" scale="67" orientation="landscape" r:id="rId1"/>
  <rowBreaks count="2" manualBreakCount="2">
    <brk id="46" max="16383" man="1"/>
    <brk id="92" max="16383" man="1"/>
  </rowBreaks>
  <drawing r:id="rId2"/>
</worksheet>
</file>

<file path=xl/worksheets/sheet18.xml><?xml version="1.0" encoding="utf-8"?>
<worksheet xmlns="http://schemas.openxmlformats.org/spreadsheetml/2006/main" xmlns:r="http://schemas.openxmlformats.org/officeDocument/2006/relationships">
  <dimension ref="A1:N128"/>
  <sheetViews>
    <sheetView zoomScale="80" zoomScaleNormal="80" workbookViewId="0">
      <selection activeCell="B7" sqref="B7"/>
    </sheetView>
  </sheetViews>
  <sheetFormatPr baseColWidth="10" defaultRowHeight="15"/>
  <cols>
    <col min="1" max="1" width="6.85546875" bestFit="1" customWidth="1"/>
    <col min="2" max="2" width="37.140625" bestFit="1" customWidth="1"/>
    <col min="3" max="3" width="15.85546875" bestFit="1" customWidth="1"/>
    <col min="4" max="4" width="15.140625" bestFit="1" customWidth="1"/>
    <col min="5" max="5" width="14.85546875" bestFit="1" customWidth="1"/>
    <col min="6" max="6" width="16.28515625" bestFit="1" customWidth="1"/>
    <col min="7" max="7" width="15.5703125" bestFit="1" customWidth="1"/>
    <col min="8" max="8" width="14.85546875" bestFit="1" customWidth="1"/>
    <col min="9" max="9" width="15.140625" bestFit="1" customWidth="1"/>
    <col min="11" max="11" width="12.5703125" bestFit="1" customWidth="1"/>
    <col min="14" max="14" width="11.5703125" bestFit="1" customWidth="1"/>
  </cols>
  <sheetData>
    <row r="1" spans="1:11" s="1" customFormat="1">
      <c r="B1"/>
    </row>
    <row r="2" spans="1:11" s="1" customFormat="1" ht="12.75"/>
    <row r="3" spans="1:11" s="1" customFormat="1" ht="12.75"/>
    <row r="4" spans="1:11" s="1" customFormat="1" ht="12.75"/>
    <row r="5" spans="1:11" s="1" customFormat="1" ht="13.5" thickBot="1">
      <c r="A5" s="6"/>
      <c r="B5" s="6"/>
      <c r="C5" s="6"/>
      <c r="D5" s="6"/>
      <c r="E5" s="6"/>
      <c r="F5" s="6"/>
      <c r="G5" s="6"/>
      <c r="H5" s="6"/>
      <c r="I5" s="6"/>
    </row>
    <row r="6" spans="1:11" ht="15.75" thickTop="1"/>
    <row r="7" spans="1:11" s="20" customFormat="1" ht="12.75">
      <c r="B7" s="20" t="s">
        <v>867</v>
      </c>
    </row>
    <row r="8" spans="1:11">
      <c r="B8" s="390" t="s">
        <v>747</v>
      </c>
      <c r="C8" s="390"/>
      <c r="D8" s="390"/>
      <c r="E8" s="390"/>
      <c r="F8" s="390"/>
      <c r="G8" s="390"/>
      <c r="H8" s="390"/>
      <c r="I8" s="390"/>
    </row>
    <row r="9" spans="1:11">
      <c r="B9" s="390" t="s">
        <v>238</v>
      </c>
      <c r="C9" s="390"/>
      <c r="D9" s="390"/>
      <c r="E9" s="390"/>
      <c r="F9" s="390"/>
      <c r="G9" s="390"/>
      <c r="H9" s="390"/>
      <c r="I9" s="390"/>
    </row>
    <row r="10" spans="1:11">
      <c r="A10" s="391" t="s">
        <v>700</v>
      </c>
      <c r="B10" s="391"/>
      <c r="C10" s="391"/>
      <c r="D10" s="391"/>
      <c r="E10" s="391"/>
      <c r="F10" s="391"/>
      <c r="G10" s="391"/>
      <c r="H10" s="391"/>
      <c r="I10" s="391"/>
    </row>
    <row r="12" spans="1:11" s="9" customFormat="1" ht="12">
      <c r="A12" s="71" t="s">
        <v>69</v>
      </c>
      <c r="B12" s="71" t="s">
        <v>284</v>
      </c>
      <c r="C12" s="71" t="s">
        <v>239</v>
      </c>
      <c r="D12" s="71" t="s">
        <v>408</v>
      </c>
      <c r="E12" s="71" t="s">
        <v>413</v>
      </c>
      <c r="F12" s="71" t="s">
        <v>414</v>
      </c>
      <c r="G12" s="71" t="s">
        <v>536</v>
      </c>
      <c r="H12" s="71" t="s">
        <v>415</v>
      </c>
      <c r="I12" s="71" t="s">
        <v>416</v>
      </c>
    </row>
    <row r="13" spans="1:11">
      <c r="C13" s="80"/>
      <c r="D13" s="80">
        <v>441</v>
      </c>
      <c r="E13" s="80">
        <v>443</v>
      </c>
      <c r="F13" s="80">
        <v>445</v>
      </c>
      <c r="G13" s="80">
        <v>446</v>
      </c>
      <c r="H13" s="80">
        <v>447</v>
      </c>
      <c r="I13" s="80">
        <v>451</v>
      </c>
    </row>
    <row r="14" spans="1:11" s="83" customFormat="1">
      <c r="A14" s="87" t="s">
        <v>74</v>
      </c>
      <c r="B14" s="20" t="s">
        <v>286</v>
      </c>
      <c r="C14" s="92">
        <f t="shared" ref="C14:C27" si="0">SUM(D14:I14)</f>
        <v>9313840</v>
      </c>
      <c r="D14" s="88">
        <v>514430</v>
      </c>
      <c r="E14" s="88">
        <v>423620</v>
      </c>
      <c r="F14" s="88">
        <v>3788640</v>
      </c>
      <c r="G14" s="88">
        <v>138650</v>
      </c>
      <c r="H14" s="88">
        <v>2341520</v>
      </c>
      <c r="I14" s="88">
        <v>2106980</v>
      </c>
    </row>
    <row r="15" spans="1:11">
      <c r="A15" s="87" t="s">
        <v>76</v>
      </c>
      <c r="B15" s="20" t="s">
        <v>287</v>
      </c>
      <c r="C15" s="92">
        <f t="shared" si="0"/>
        <v>4413770</v>
      </c>
      <c r="D15" s="88">
        <v>103770</v>
      </c>
      <c r="E15" s="88">
        <v>373770</v>
      </c>
      <c r="F15" s="88">
        <v>1799860</v>
      </c>
      <c r="G15" s="88">
        <v>101460</v>
      </c>
      <c r="H15" s="88">
        <v>929620</v>
      </c>
      <c r="I15" s="88">
        <v>1105290</v>
      </c>
    </row>
    <row r="16" spans="1:11" s="20" customFormat="1">
      <c r="A16" s="87" t="s">
        <v>77</v>
      </c>
      <c r="B16" s="20" t="s">
        <v>288</v>
      </c>
      <c r="C16" s="92">
        <f t="shared" si="0"/>
        <v>0</v>
      </c>
      <c r="D16" s="363">
        <v>0</v>
      </c>
      <c r="E16" s="88">
        <v>0</v>
      </c>
      <c r="F16" s="88">
        <v>0</v>
      </c>
      <c r="G16" s="88">
        <v>0</v>
      </c>
      <c r="H16" s="88">
        <v>0</v>
      </c>
      <c r="I16" s="88">
        <v>0</v>
      </c>
      <c r="K16"/>
    </row>
    <row r="17" spans="1:11" s="20" customFormat="1">
      <c r="A17" s="87" t="s">
        <v>78</v>
      </c>
      <c r="B17" s="20" t="s">
        <v>289</v>
      </c>
      <c r="C17" s="92">
        <f t="shared" si="0"/>
        <v>0</v>
      </c>
      <c r="D17" s="88">
        <v>0</v>
      </c>
      <c r="E17" s="88">
        <v>0</v>
      </c>
      <c r="F17" s="88">
        <v>0</v>
      </c>
      <c r="G17" s="88">
        <v>0</v>
      </c>
      <c r="H17" s="88">
        <v>0</v>
      </c>
      <c r="I17" s="88">
        <v>0</v>
      </c>
      <c r="K17"/>
    </row>
    <row r="18" spans="1:11">
      <c r="A18" s="87" t="s">
        <v>79</v>
      </c>
      <c r="B18" s="20" t="s">
        <v>290</v>
      </c>
      <c r="C18" s="92">
        <f t="shared" si="0"/>
        <v>8818530</v>
      </c>
      <c r="D18" s="363">
        <v>372340</v>
      </c>
      <c r="E18" s="88">
        <v>424680</v>
      </c>
      <c r="F18" s="88">
        <v>3140330</v>
      </c>
      <c r="G18" s="88">
        <v>188820</v>
      </c>
      <c r="H18" s="88">
        <v>3648750</v>
      </c>
      <c r="I18" s="88">
        <v>1043610</v>
      </c>
    </row>
    <row r="19" spans="1:11">
      <c r="A19" s="87" t="s">
        <v>80</v>
      </c>
      <c r="B19" s="20" t="s">
        <v>291</v>
      </c>
      <c r="C19" s="92">
        <f t="shared" si="0"/>
        <v>634660</v>
      </c>
      <c r="D19" s="88">
        <v>28900</v>
      </c>
      <c r="E19" s="88">
        <v>63340</v>
      </c>
      <c r="F19" s="88">
        <v>286640</v>
      </c>
      <c r="G19" s="88">
        <v>9370</v>
      </c>
      <c r="H19" s="88">
        <v>244930</v>
      </c>
      <c r="I19" s="88">
        <v>1480</v>
      </c>
    </row>
    <row r="20" spans="1:11">
      <c r="A20" s="87" t="s">
        <v>81</v>
      </c>
      <c r="B20" s="20" t="s">
        <v>292</v>
      </c>
      <c r="C20" s="92">
        <f t="shared" si="0"/>
        <v>1813930</v>
      </c>
      <c r="D20" s="88">
        <v>93160</v>
      </c>
      <c r="E20" s="88">
        <v>133480</v>
      </c>
      <c r="F20" s="88">
        <v>670160</v>
      </c>
      <c r="G20" s="88">
        <v>46990</v>
      </c>
      <c r="H20" s="88">
        <v>460080</v>
      </c>
      <c r="I20" s="88">
        <v>410060</v>
      </c>
    </row>
    <row r="21" spans="1:11">
      <c r="A21" s="87" t="s">
        <v>82</v>
      </c>
      <c r="B21" s="20" t="s">
        <v>293</v>
      </c>
      <c r="C21" s="92">
        <f t="shared" si="0"/>
        <v>640180</v>
      </c>
      <c r="D21" s="88">
        <v>31180</v>
      </c>
      <c r="E21" s="88">
        <v>67990</v>
      </c>
      <c r="F21" s="88">
        <v>363610</v>
      </c>
      <c r="G21" s="88">
        <v>41950</v>
      </c>
      <c r="H21" s="88">
        <v>14950</v>
      </c>
      <c r="I21" s="88">
        <v>120500</v>
      </c>
    </row>
    <row r="22" spans="1:11" s="7" customFormat="1">
      <c r="A22" s="87" t="s">
        <v>93</v>
      </c>
      <c r="B22" s="20" t="s">
        <v>294</v>
      </c>
      <c r="C22" s="92">
        <f t="shared" si="0"/>
        <v>293500</v>
      </c>
      <c r="D22" s="88">
        <v>0</v>
      </c>
      <c r="E22" s="88">
        <v>0</v>
      </c>
      <c r="F22" s="88">
        <v>0</v>
      </c>
      <c r="G22" s="88">
        <v>3030</v>
      </c>
      <c r="H22" s="88">
        <v>0</v>
      </c>
      <c r="I22" s="88">
        <v>290470</v>
      </c>
    </row>
    <row r="23" spans="1:11" s="10" customFormat="1">
      <c r="A23" s="87" t="s">
        <v>94</v>
      </c>
      <c r="B23" s="20" t="s">
        <v>295</v>
      </c>
      <c r="C23" s="92">
        <f t="shared" si="0"/>
        <v>500370</v>
      </c>
      <c r="D23" s="88">
        <f>15870+6400</f>
        <v>22270</v>
      </c>
      <c r="E23" s="88">
        <f>27980+11200</f>
        <v>39180</v>
      </c>
      <c r="F23" s="88">
        <f>153150+63200</f>
        <v>216350</v>
      </c>
      <c r="G23" s="88">
        <f>6630+2400</f>
        <v>9030</v>
      </c>
      <c r="H23" s="88">
        <f>93010+37600</f>
        <v>130610</v>
      </c>
      <c r="I23" s="88">
        <f>58930+24000</f>
        <v>82930</v>
      </c>
    </row>
    <row r="24" spans="1:11">
      <c r="A24" s="87" t="s">
        <v>151</v>
      </c>
      <c r="B24" s="20" t="s">
        <v>296</v>
      </c>
      <c r="C24" s="92">
        <f t="shared" si="0"/>
        <v>2132720</v>
      </c>
      <c r="D24" s="88">
        <v>119730</v>
      </c>
      <c r="E24" s="88">
        <v>183920</v>
      </c>
      <c r="F24" s="88">
        <v>878880</v>
      </c>
      <c r="G24" s="88">
        <v>64750</v>
      </c>
      <c r="H24" s="88">
        <v>282560</v>
      </c>
      <c r="I24" s="88">
        <v>602880</v>
      </c>
    </row>
    <row r="25" spans="1:11">
      <c r="A25" s="87" t="s">
        <v>153</v>
      </c>
      <c r="B25" s="20" t="s">
        <v>297</v>
      </c>
      <c r="C25" s="92">
        <f t="shared" si="0"/>
        <v>1272300</v>
      </c>
      <c r="D25" s="88">
        <v>65680</v>
      </c>
      <c r="E25" s="88">
        <v>93880</v>
      </c>
      <c r="F25" s="88">
        <v>620190</v>
      </c>
      <c r="G25" s="88">
        <v>8540</v>
      </c>
      <c r="H25" s="88">
        <v>160670</v>
      </c>
      <c r="I25" s="88">
        <v>323340</v>
      </c>
    </row>
    <row r="26" spans="1:11">
      <c r="A26" s="87" t="s">
        <v>155</v>
      </c>
      <c r="B26" s="20" t="s">
        <v>298</v>
      </c>
      <c r="C26" s="92">
        <f t="shared" si="0"/>
        <v>1795120</v>
      </c>
      <c r="D26" s="88">
        <v>82190</v>
      </c>
      <c r="E26" s="88">
        <v>133490</v>
      </c>
      <c r="F26" s="88">
        <v>887740</v>
      </c>
      <c r="G26" s="88">
        <v>80060</v>
      </c>
      <c r="H26" s="88">
        <v>206920</v>
      </c>
      <c r="I26" s="88">
        <v>404720</v>
      </c>
    </row>
    <row r="27" spans="1:11">
      <c r="A27" s="87" t="s">
        <v>157</v>
      </c>
      <c r="B27" s="20" t="s">
        <v>299</v>
      </c>
      <c r="C27" s="92">
        <f t="shared" si="0"/>
        <v>0</v>
      </c>
      <c r="D27" s="88">
        <v>0</v>
      </c>
      <c r="E27" s="88">
        <v>0</v>
      </c>
      <c r="F27" s="88">
        <v>0</v>
      </c>
      <c r="G27" s="88">
        <v>0</v>
      </c>
      <c r="H27" s="88">
        <v>0</v>
      </c>
      <c r="I27" s="88">
        <v>0</v>
      </c>
    </row>
    <row r="28" spans="1:11" s="7" customFormat="1">
      <c r="A28" s="67"/>
      <c r="B28" s="89" t="s">
        <v>300</v>
      </c>
      <c r="C28" s="72">
        <f>SUM(C14:C27)</f>
        <v>31628920</v>
      </c>
      <c r="D28" s="72">
        <f t="shared" ref="D28:I28" si="1">SUM(D14:D27)</f>
        <v>1433650</v>
      </c>
      <c r="E28" s="72">
        <f t="shared" si="1"/>
        <v>1937350</v>
      </c>
      <c r="F28" s="72">
        <f t="shared" si="1"/>
        <v>12652400</v>
      </c>
      <c r="G28" s="72">
        <f t="shared" si="1"/>
        <v>692650</v>
      </c>
      <c r="H28" s="72">
        <f t="shared" si="1"/>
        <v>8420610</v>
      </c>
      <c r="I28" s="72">
        <f t="shared" si="1"/>
        <v>6492260</v>
      </c>
    </row>
    <row r="30" spans="1:11" s="9" customFormat="1" ht="12">
      <c r="A30" s="71" t="s">
        <v>69</v>
      </c>
      <c r="B30" s="71" t="s">
        <v>301</v>
      </c>
      <c r="C30" s="71" t="s">
        <v>239</v>
      </c>
      <c r="D30" s="71" t="s">
        <v>408</v>
      </c>
      <c r="E30" s="364"/>
      <c r="F30" s="71" t="s">
        <v>414</v>
      </c>
      <c r="G30" s="71" t="s">
        <v>536</v>
      </c>
      <c r="H30" s="71" t="s">
        <v>415</v>
      </c>
      <c r="I30" s="71" t="s">
        <v>416</v>
      </c>
    </row>
    <row r="31" spans="1:11" s="80" customFormat="1">
      <c r="A31" s="93" t="s">
        <v>303</v>
      </c>
      <c r="D31" s="80">
        <v>441</v>
      </c>
      <c r="E31" s="80">
        <v>443</v>
      </c>
      <c r="F31" s="80">
        <v>445</v>
      </c>
      <c r="G31" s="80">
        <v>446</v>
      </c>
      <c r="H31" s="80">
        <v>447</v>
      </c>
      <c r="I31" s="80">
        <v>451</v>
      </c>
    </row>
    <row r="32" spans="1:11" s="83" customFormat="1">
      <c r="A32" s="87" t="s">
        <v>74</v>
      </c>
      <c r="B32" s="20" t="s">
        <v>286</v>
      </c>
      <c r="C32" s="92">
        <f t="shared" ref="C32:C45" si="2">SUM(D32:I32)</f>
        <v>1209810</v>
      </c>
      <c r="D32" s="88">
        <v>92440</v>
      </c>
      <c r="E32" s="88">
        <v>184360</v>
      </c>
      <c r="F32" s="88">
        <v>772400</v>
      </c>
      <c r="G32" s="88">
        <v>31360</v>
      </c>
      <c r="H32" s="88">
        <v>0</v>
      </c>
      <c r="I32" s="88">
        <v>129250</v>
      </c>
    </row>
    <row r="33" spans="1:9">
      <c r="A33" s="87" t="s">
        <v>76</v>
      </c>
      <c r="B33" s="20" t="s">
        <v>287</v>
      </c>
      <c r="C33" s="92">
        <f t="shared" si="2"/>
        <v>147440</v>
      </c>
      <c r="D33" s="88">
        <v>10740</v>
      </c>
      <c r="E33" s="88">
        <v>7830</v>
      </c>
      <c r="F33" s="88">
        <v>119030</v>
      </c>
      <c r="G33" s="88">
        <v>5090</v>
      </c>
      <c r="H33" s="88">
        <v>0</v>
      </c>
      <c r="I33" s="88">
        <v>4750</v>
      </c>
    </row>
    <row r="34" spans="1:9" s="20" customFormat="1">
      <c r="A34" s="87" t="s">
        <v>77</v>
      </c>
      <c r="B34" s="20" t="s">
        <v>288</v>
      </c>
      <c r="C34" s="92">
        <f t="shared" si="2"/>
        <v>0</v>
      </c>
      <c r="D34" s="88">
        <v>0</v>
      </c>
      <c r="E34" s="88">
        <v>0</v>
      </c>
      <c r="F34" s="88">
        <v>0</v>
      </c>
      <c r="G34" s="88">
        <v>0</v>
      </c>
      <c r="H34" s="88">
        <v>0</v>
      </c>
      <c r="I34" s="88">
        <v>0</v>
      </c>
    </row>
    <row r="35" spans="1:9" s="20" customFormat="1">
      <c r="A35" s="87" t="s">
        <v>78</v>
      </c>
      <c r="B35" s="20" t="s">
        <v>289</v>
      </c>
      <c r="C35" s="92">
        <f t="shared" si="2"/>
        <v>0</v>
      </c>
      <c r="D35" s="88">
        <v>0</v>
      </c>
      <c r="E35" s="88">
        <v>0</v>
      </c>
      <c r="F35" s="88">
        <v>0</v>
      </c>
      <c r="G35" s="88">
        <v>0</v>
      </c>
      <c r="H35" s="88">
        <v>0</v>
      </c>
      <c r="I35" s="88">
        <v>0</v>
      </c>
    </row>
    <row r="36" spans="1:9">
      <c r="A36" s="87" t="s">
        <v>79</v>
      </c>
      <c r="B36" s="20" t="s">
        <v>290</v>
      </c>
      <c r="C36" s="92">
        <f t="shared" si="2"/>
        <v>2938930</v>
      </c>
      <c r="D36" s="88">
        <v>155440</v>
      </c>
      <c r="E36" s="88">
        <v>512010</v>
      </c>
      <c r="F36" s="88">
        <v>2054450</v>
      </c>
      <c r="G36" s="88">
        <v>43800</v>
      </c>
      <c r="H36" s="88">
        <v>0</v>
      </c>
      <c r="I36" s="88">
        <v>173230</v>
      </c>
    </row>
    <row r="37" spans="1:9">
      <c r="A37" s="87" t="s">
        <v>80</v>
      </c>
      <c r="B37" s="20" t="s">
        <v>291</v>
      </c>
      <c r="C37" s="92">
        <f t="shared" si="2"/>
        <v>0</v>
      </c>
      <c r="D37" s="88">
        <v>0</v>
      </c>
      <c r="E37" s="88">
        <v>0</v>
      </c>
      <c r="F37" s="88">
        <v>0</v>
      </c>
      <c r="G37" s="88">
        <v>0</v>
      </c>
      <c r="H37" s="88">
        <v>0</v>
      </c>
      <c r="I37" s="88">
        <v>0</v>
      </c>
    </row>
    <row r="38" spans="1:9">
      <c r="A38" s="87" t="s">
        <v>81</v>
      </c>
      <c r="B38" s="20" t="s">
        <v>292</v>
      </c>
      <c r="C38" s="92">
        <f t="shared" si="2"/>
        <v>361350</v>
      </c>
      <c r="D38" s="88">
        <v>23120</v>
      </c>
      <c r="E38" s="88">
        <v>73480</v>
      </c>
      <c r="F38" s="88">
        <v>225440</v>
      </c>
      <c r="G38" s="88">
        <v>9180</v>
      </c>
      <c r="H38" s="88">
        <v>0</v>
      </c>
      <c r="I38" s="88">
        <v>30130</v>
      </c>
    </row>
    <row r="39" spans="1:9">
      <c r="A39" s="87" t="s">
        <v>82</v>
      </c>
      <c r="B39" s="20" t="s">
        <v>293</v>
      </c>
      <c r="C39" s="92">
        <f t="shared" si="2"/>
        <v>436660</v>
      </c>
      <c r="D39" s="88">
        <v>34680</v>
      </c>
      <c r="E39" s="88">
        <v>252710</v>
      </c>
      <c r="F39" s="88">
        <v>140710</v>
      </c>
      <c r="G39" s="88">
        <v>8560</v>
      </c>
      <c r="H39" s="88">
        <v>0</v>
      </c>
      <c r="I39" s="88">
        <v>0</v>
      </c>
    </row>
    <row r="40" spans="1:9" s="7" customFormat="1">
      <c r="A40" s="87" t="s">
        <v>93</v>
      </c>
      <c r="B40" s="20" t="s">
        <v>294</v>
      </c>
      <c r="C40" s="92">
        <f t="shared" si="2"/>
        <v>0</v>
      </c>
      <c r="D40" s="88">
        <v>0</v>
      </c>
      <c r="E40" s="88">
        <v>0</v>
      </c>
      <c r="F40" s="88">
        <v>0</v>
      </c>
      <c r="G40" s="88">
        <v>0</v>
      </c>
      <c r="H40" s="88">
        <v>0</v>
      </c>
      <c r="I40" s="88">
        <v>0</v>
      </c>
    </row>
    <row r="41" spans="1:9" s="10" customFormat="1">
      <c r="A41" s="87" t="s">
        <v>94</v>
      </c>
      <c r="B41" s="20" t="s">
        <v>295</v>
      </c>
      <c r="C41" s="92">
        <f t="shared" si="2"/>
        <v>178910</v>
      </c>
      <c r="D41" s="88">
        <f>8360+3200</f>
        <v>11560</v>
      </c>
      <c r="E41" s="88">
        <f>27440+11200</f>
        <v>38640</v>
      </c>
      <c r="F41" s="88">
        <f>77950+32800</f>
        <v>110750</v>
      </c>
      <c r="G41" s="88">
        <f>3140+1600</f>
        <v>4740</v>
      </c>
      <c r="H41" s="88">
        <v>0</v>
      </c>
      <c r="I41" s="88">
        <f>9220+4000</f>
        <v>13220</v>
      </c>
    </row>
    <row r="42" spans="1:9">
      <c r="A42" s="87" t="s">
        <v>151</v>
      </c>
      <c r="B42" s="20" t="s">
        <v>296</v>
      </c>
      <c r="C42" s="92">
        <f t="shared" si="2"/>
        <v>350200</v>
      </c>
      <c r="D42" s="88">
        <v>19170</v>
      </c>
      <c r="E42" s="88">
        <v>65590</v>
      </c>
      <c r="F42" s="88">
        <v>221380</v>
      </c>
      <c r="G42" s="88">
        <v>10910</v>
      </c>
      <c r="H42" s="88">
        <v>0</v>
      </c>
      <c r="I42" s="88">
        <v>33150</v>
      </c>
    </row>
    <row r="43" spans="1:9">
      <c r="A43" s="87" t="s">
        <v>153</v>
      </c>
      <c r="B43" s="20" t="s">
        <v>297</v>
      </c>
      <c r="C43" s="92">
        <f t="shared" si="2"/>
        <v>133470</v>
      </c>
      <c r="D43" s="88">
        <v>12400</v>
      </c>
      <c r="E43" s="88">
        <v>42370</v>
      </c>
      <c r="F43" s="88">
        <v>50200</v>
      </c>
      <c r="G43" s="88">
        <v>7010</v>
      </c>
      <c r="H43" s="88">
        <v>0</v>
      </c>
      <c r="I43" s="88">
        <v>21490</v>
      </c>
    </row>
    <row r="44" spans="1:9">
      <c r="A44" s="87" t="s">
        <v>155</v>
      </c>
      <c r="B44" s="20" t="s">
        <v>298</v>
      </c>
      <c r="C44" s="92">
        <f t="shared" si="2"/>
        <v>387480</v>
      </c>
      <c r="D44" s="88">
        <v>12120</v>
      </c>
      <c r="E44" s="88">
        <v>42620</v>
      </c>
      <c r="F44" s="88">
        <v>305830</v>
      </c>
      <c r="G44" s="88">
        <v>6900</v>
      </c>
      <c r="H44" s="88">
        <v>0</v>
      </c>
      <c r="I44" s="88">
        <v>20010</v>
      </c>
    </row>
    <row r="45" spans="1:9">
      <c r="A45" s="87" t="s">
        <v>157</v>
      </c>
      <c r="B45" s="20" t="s">
        <v>299</v>
      </c>
      <c r="C45" s="92">
        <f t="shared" si="2"/>
        <v>0</v>
      </c>
      <c r="D45" s="88">
        <v>0</v>
      </c>
      <c r="E45" s="88">
        <v>0</v>
      </c>
      <c r="F45" s="88">
        <v>0</v>
      </c>
      <c r="G45" s="88">
        <v>0</v>
      </c>
      <c r="H45" s="88">
        <v>0</v>
      </c>
      <c r="I45" s="88">
        <v>0</v>
      </c>
    </row>
    <row r="46" spans="1:9" s="7" customFormat="1">
      <c r="A46" s="67"/>
      <c r="B46" s="89" t="s">
        <v>300</v>
      </c>
      <c r="C46" s="72">
        <f>SUM(C32:C45)</f>
        <v>6144250</v>
      </c>
      <c r="D46" s="72">
        <f t="shared" ref="D46:I46" si="3">SUM(D32:D45)</f>
        <v>371670</v>
      </c>
      <c r="E46" s="72">
        <f t="shared" si="3"/>
        <v>1219610</v>
      </c>
      <c r="F46" s="72">
        <f t="shared" si="3"/>
        <v>4000190</v>
      </c>
      <c r="G46" s="72">
        <f t="shared" si="3"/>
        <v>127550</v>
      </c>
      <c r="H46" s="72">
        <f t="shared" si="3"/>
        <v>0</v>
      </c>
      <c r="I46" s="72">
        <f t="shared" si="3"/>
        <v>425230</v>
      </c>
    </row>
    <row r="48" spans="1:9" s="9" customFormat="1" ht="12">
      <c r="A48" s="71" t="s">
        <v>69</v>
      </c>
      <c r="B48" s="71" t="s">
        <v>302</v>
      </c>
      <c r="C48" s="71" t="s">
        <v>239</v>
      </c>
      <c r="D48" s="71" t="s">
        <v>408</v>
      </c>
      <c r="E48" s="71" t="s">
        <v>413</v>
      </c>
      <c r="F48" s="71" t="s">
        <v>414</v>
      </c>
      <c r="G48" s="71" t="s">
        <v>536</v>
      </c>
      <c r="H48" s="71" t="s">
        <v>415</v>
      </c>
      <c r="I48" s="71" t="s">
        <v>416</v>
      </c>
    </row>
    <row r="49" spans="1:9" s="80" customFormat="1">
      <c r="A49" s="93" t="s">
        <v>304</v>
      </c>
      <c r="D49" s="80">
        <v>441</v>
      </c>
      <c r="E49" s="80">
        <v>443</v>
      </c>
      <c r="F49" s="80">
        <v>445</v>
      </c>
      <c r="G49" s="80">
        <v>446</v>
      </c>
      <c r="H49" s="80">
        <v>447</v>
      </c>
      <c r="I49" s="80">
        <v>451</v>
      </c>
    </row>
    <row r="50" spans="1:9" s="83" customFormat="1">
      <c r="A50" s="87" t="s">
        <v>74</v>
      </c>
      <c r="B50" s="20" t="s">
        <v>307</v>
      </c>
      <c r="C50" s="92">
        <f t="shared" ref="C50:C64" si="4">SUM(D50:I50)</f>
        <v>0</v>
      </c>
      <c r="D50" s="88">
        <v>0</v>
      </c>
      <c r="E50" s="88">
        <v>0</v>
      </c>
      <c r="F50" s="88">
        <v>0</v>
      </c>
      <c r="G50" s="88">
        <v>0</v>
      </c>
      <c r="H50" s="88">
        <v>0</v>
      </c>
      <c r="I50" s="88">
        <v>0</v>
      </c>
    </row>
    <row r="51" spans="1:9">
      <c r="A51" s="87" t="s">
        <v>76</v>
      </c>
      <c r="B51" s="20" t="s">
        <v>308</v>
      </c>
      <c r="C51" s="92">
        <f t="shared" si="4"/>
        <v>0</v>
      </c>
      <c r="D51" s="88">
        <v>0</v>
      </c>
      <c r="E51" s="88">
        <v>0</v>
      </c>
      <c r="F51" s="88">
        <v>0</v>
      </c>
      <c r="G51" s="88">
        <v>0</v>
      </c>
      <c r="H51" s="88">
        <v>0</v>
      </c>
      <c r="I51" s="88">
        <v>0</v>
      </c>
    </row>
    <row r="52" spans="1:9" s="20" customFormat="1">
      <c r="A52" s="87" t="s">
        <v>77</v>
      </c>
      <c r="B52" s="20" t="s">
        <v>309</v>
      </c>
      <c r="C52" s="92">
        <f t="shared" si="4"/>
        <v>4351950</v>
      </c>
      <c r="D52" s="88">
        <v>4279540</v>
      </c>
      <c r="E52" s="88">
        <v>0</v>
      </c>
      <c r="F52" s="88">
        <v>0</v>
      </c>
      <c r="G52" s="88">
        <v>0</v>
      </c>
      <c r="H52" s="88">
        <v>72410</v>
      </c>
      <c r="I52" s="88">
        <v>0</v>
      </c>
    </row>
    <row r="53" spans="1:9" s="20" customFormat="1">
      <c r="A53" s="87" t="s">
        <v>78</v>
      </c>
      <c r="B53" s="20" t="s">
        <v>310</v>
      </c>
      <c r="C53" s="92">
        <f t="shared" si="4"/>
        <v>1124340</v>
      </c>
      <c r="D53" s="88">
        <v>1095660</v>
      </c>
      <c r="E53" s="88">
        <v>0</v>
      </c>
      <c r="F53" s="88">
        <v>0</v>
      </c>
      <c r="G53" s="88">
        <v>0</v>
      </c>
      <c r="H53" s="88">
        <v>0</v>
      </c>
      <c r="I53" s="88">
        <v>28680</v>
      </c>
    </row>
    <row r="54" spans="1:9">
      <c r="A54" s="87" t="s">
        <v>79</v>
      </c>
      <c r="B54" s="20" t="s">
        <v>311</v>
      </c>
      <c r="C54" s="92">
        <f t="shared" si="4"/>
        <v>1700</v>
      </c>
      <c r="D54" s="88">
        <v>0</v>
      </c>
      <c r="E54" s="88">
        <v>0</v>
      </c>
      <c r="F54" s="88">
        <v>0</v>
      </c>
      <c r="G54" s="88">
        <v>0</v>
      </c>
      <c r="H54" s="88">
        <v>0</v>
      </c>
      <c r="I54" s="88">
        <v>1700</v>
      </c>
    </row>
    <row r="55" spans="1:9">
      <c r="A55" s="87" t="s">
        <v>80</v>
      </c>
      <c r="B55" s="20" t="s">
        <v>312</v>
      </c>
      <c r="C55" s="92">
        <f t="shared" si="4"/>
        <v>0</v>
      </c>
      <c r="D55" s="88">
        <v>0</v>
      </c>
      <c r="E55" s="88">
        <v>0</v>
      </c>
      <c r="F55" s="88">
        <v>0</v>
      </c>
      <c r="G55" s="88">
        <v>0</v>
      </c>
      <c r="H55" s="88">
        <v>0</v>
      </c>
      <c r="I55" s="88">
        <v>0</v>
      </c>
    </row>
    <row r="56" spans="1:9">
      <c r="A56" s="87" t="s">
        <v>81</v>
      </c>
      <c r="B56" s="20" t="s">
        <v>313</v>
      </c>
      <c r="C56" s="92">
        <f t="shared" si="4"/>
        <v>0</v>
      </c>
      <c r="D56" s="88">
        <v>0</v>
      </c>
      <c r="E56" s="88">
        <v>0</v>
      </c>
      <c r="F56" s="88">
        <v>0</v>
      </c>
      <c r="G56" s="88">
        <v>0</v>
      </c>
      <c r="H56" s="88">
        <v>0</v>
      </c>
      <c r="I56" s="88">
        <v>0</v>
      </c>
    </row>
    <row r="57" spans="1:9">
      <c r="A57" s="87" t="s">
        <v>82</v>
      </c>
      <c r="B57" s="20" t="s">
        <v>314</v>
      </c>
      <c r="C57" s="92">
        <f t="shared" si="4"/>
        <v>76590</v>
      </c>
      <c r="D57" s="88">
        <v>0</v>
      </c>
      <c r="E57" s="88">
        <v>0</v>
      </c>
      <c r="F57" s="88">
        <v>76590</v>
      </c>
      <c r="G57" s="88">
        <v>0</v>
      </c>
      <c r="H57" s="88">
        <v>0</v>
      </c>
      <c r="I57" s="88">
        <v>0</v>
      </c>
    </row>
    <row r="58" spans="1:9">
      <c r="A58" s="87" t="s">
        <v>93</v>
      </c>
      <c r="B58" s="20" t="s">
        <v>315</v>
      </c>
      <c r="C58" s="92">
        <f t="shared" si="4"/>
        <v>250140</v>
      </c>
      <c r="D58" s="88">
        <v>0</v>
      </c>
      <c r="E58" s="88">
        <v>22130</v>
      </c>
      <c r="F58" s="88">
        <v>228010</v>
      </c>
      <c r="G58" s="88">
        <v>0</v>
      </c>
      <c r="H58" s="88">
        <v>0</v>
      </c>
      <c r="I58" s="88">
        <v>0</v>
      </c>
    </row>
    <row r="59" spans="1:9">
      <c r="A59" s="87" t="s">
        <v>94</v>
      </c>
      <c r="B59" s="20" t="s">
        <v>316</v>
      </c>
      <c r="C59" s="92">
        <f t="shared" si="4"/>
        <v>0</v>
      </c>
      <c r="D59" s="88">
        <v>0</v>
      </c>
      <c r="E59" s="88">
        <v>0</v>
      </c>
      <c r="F59" s="88">
        <v>0</v>
      </c>
      <c r="G59" s="88">
        <v>0</v>
      </c>
      <c r="H59" s="88">
        <v>0</v>
      </c>
      <c r="I59" s="88">
        <v>0</v>
      </c>
    </row>
    <row r="60" spans="1:9">
      <c r="A60" s="87" t="s">
        <v>151</v>
      </c>
      <c r="B60" s="20" t="s">
        <v>317</v>
      </c>
      <c r="C60" s="92">
        <f t="shared" si="4"/>
        <v>202620</v>
      </c>
      <c r="D60" s="88">
        <v>0</v>
      </c>
      <c r="E60" s="88">
        <v>105250</v>
      </c>
      <c r="F60" s="88">
        <v>67540</v>
      </c>
      <c r="G60" s="88">
        <v>1190</v>
      </c>
      <c r="H60" s="88">
        <v>16440</v>
      </c>
      <c r="I60" s="88">
        <v>12200</v>
      </c>
    </row>
    <row r="61" spans="1:9">
      <c r="A61" s="87" t="s">
        <v>153</v>
      </c>
      <c r="B61" s="20" t="s">
        <v>318</v>
      </c>
      <c r="C61" s="92">
        <f t="shared" si="4"/>
        <v>1033920</v>
      </c>
      <c r="D61" s="88">
        <v>0</v>
      </c>
      <c r="E61" s="88">
        <v>0</v>
      </c>
      <c r="F61" s="88">
        <v>256910</v>
      </c>
      <c r="G61" s="88">
        <v>0</v>
      </c>
      <c r="H61" s="88">
        <v>777010</v>
      </c>
      <c r="I61" s="88">
        <v>0</v>
      </c>
    </row>
    <row r="62" spans="1:9">
      <c r="A62" s="87" t="s">
        <v>155</v>
      </c>
      <c r="B62" s="20" t="s">
        <v>319</v>
      </c>
      <c r="C62" s="92">
        <f t="shared" si="4"/>
        <v>0</v>
      </c>
      <c r="D62" s="88">
        <v>0</v>
      </c>
      <c r="E62" s="88">
        <v>0</v>
      </c>
      <c r="F62" s="88">
        <v>0</v>
      </c>
      <c r="G62" s="88">
        <v>0</v>
      </c>
      <c r="H62" s="88">
        <v>0</v>
      </c>
      <c r="I62" s="88">
        <v>0</v>
      </c>
    </row>
    <row r="63" spans="1:9" s="7" customFormat="1">
      <c r="A63" s="87" t="s">
        <v>157</v>
      </c>
      <c r="B63" s="20" t="s">
        <v>320</v>
      </c>
      <c r="C63" s="92">
        <f t="shared" si="4"/>
        <v>0</v>
      </c>
      <c r="D63" s="88">
        <v>0</v>
      </c>
      <c r="E63" s="88">
        <v>0</v>
      </c>
      <c r="F63" s="88">
        <v>0</v>
      </c>
      <c r="G63" s="88">
        <v>0</v>
      </c>
      <c r="H63" s="88">
        <v>0</v>
      </c>
      <c r="I63" s="88">
        <v>0</v>
      </c>
    </row>
    <row r="64" spans="1:9" s="10" customFormat="1">
      <c r="A64" s="87" t="s">
        <v>159</v>
      </c>
      <c r="B64" s="20" t="s">
        <v>321</v>
      </c>
      <c r="C64" s="92">
        <f t="shared" si="4"/>
        <v>681780</v>
      </c>
      <c r="D64" s="88">
        <v>19000</v>
      </c>
      <c r="E64" s="88">
        <v>24510</v>
      </c>
      <c r="F64" s="88">
        <v>618430</v>
      </c>
      <c r="G64" s="88">
        <v>0</v>
      </c>
      <c r="H64" s="88">
        <v>16430</v>
      </c>
      <c r="I64" s="88">
        <v>3410</v>
      </c>
    </row>
    <row r="65" spans="1:9">
      <c r="A65" s="87"/>
      <c r="B65" s="20"/>
      <c r="C65" s="92"/>
      <c r="D65" s="88"/>
      <c r="E65" s="88"/>
      <c r="F65" s="88"/>
      <c r="G65" s="88"/>
      <c r="H65" s="88"/>
      <c r="I65" s="88"/>
    </row>
    <row r="66" spans="1:9" s="7" customFormat="1">
      <c r="A66" s="67"/>
      <c r="B66" s="89" t="s">
        <v>300</v>
      </c>
      <c r="C66" s="72">
        <f t="shared" ref="C66:I66" si="5">SUM(C50:C65)</f>
        <v>7723040</v>
      </c>
      <c r="D66" s="72">
        <f t="shared" si="5"/>
        <v>5394200</v>
      </c>
      <c r="E66" s="72">
        <f t="shared" si="5"/>
        <v>151890</v>
      </c>
      <c r="F66" s="72">
        <f t="shared" si="5"/>
        <v>1247480</v>
      </c>
      <c r="G66" s="72">
        <f t="shared" si="5"/>
        <v>1190</v>
      </c>
      <c r="H66" s="72">
        <f t="shared" si="5"/>
        <v>882290</v>
      </c>
      <c r="I66" s="72">
        <f t="shared" si="5"/>
        <v>45990</v>
      </c>
    </row>
    <row r="68" spans="1:9" s="9" customFormat="1" ht="12">
      <c r="A68" s="71" t="s">
        <v>69</v>
      </c>
      <c r="B68" s="71" t="s">
        <v>324</v>
      </c>
      <c r="C68" s="71" t="s">
        <v>239</v>
      </c>
      <c r="D68" s="71" t="s">
        <v>408</v>
      </c>
      <c r="E68" s="71" t="s">
        <v>413</v>
      </c>
      <c r="F68" s="71" t="s">
        <v>414</v>
      </c>
      <c r="G68" s="71" t="s">
        <v>536</v>
      </c>
      <c r="H68" s="71" t="s">
        <v>415</v>
      </c>
      <c r="I68" s="71" t="s">
        <v>416</v>
      </c>
    </row>
    <row r="69" spans="1:9" s="80" customFormat="1">
      <c r="A69" s="93" t="s">
        <v>323</v>
      </c>
      <c r="D69" s="80">
        <v>441</v>
      </c>
      <c r="E69" s="80">
        <v>443</v>
      </c>
      <c r="F69" s="80">
        <v>445</v>
      </c>
      <c r="G69" s="80">
        <v>446</v>
      </c>
      <c r="H69" s="80">
        <v>447</v>
      </c>
      <c r="I69" s="80">
        <v>451</v>
      </c>
    </row>
    <row r="70" spans="1:9" s="83" customFormat="1">
      <c r="A70" s="87" t="s">
        <v>74</v>
      </c>
      <c r="B70" s="20" t="s">
        <v>325</v>
      </c>
      <c r="C70" s="92">
        <f t="shared" ref="C70:C91" si="6">SUM(D70:I70)</f>
        <v>0</v>
      </c>
      <c r="D70" s="88">
        <v>0</v>
      </c>
      <c r="E70" s="88">
        <v>0</v>
      </c>
      <c r="F70" s="88">
        <v>0</v>
      </c>
      <c r="G70" s="88">
        <v>0</v>
      </c>
      <c r="H70" s="88">
        <v>0</v>
      </c>
      <c r="I70" s="88">
        <v>0</v>
      </c>
    </row>
    <row r="71" spans="1:9">
      <c r="A71" s="87" t="s">
        <v>76</v>
      </c>
      <c r="B71" s="20" t="s">
        <v>326</v>
      </c>
      <c r="C71" s="92">
        <f t="shared" si="6"/>
        <v>0</v>
      </c>
      <c r="D71" s="88">
        <v>0</v>
      </c>
      <c r="E71" s="88">
        <v>0</v>
      </c>
      <c r="F71" s="88">
        <v>0</v>
      </c>
      <c r="G71" s="88">
        <v>0</v>
      </c>
      <c r="H71" s="88">
        <v>0</v>
      </c>
      <c r="I71" s="88">
        <v>0</v>
      </c>
    </row>
    <row r="72" spans="1:9" s="20" customFormat="1">
      <c r="A72" s="87" t="s">
        <v>77</v>
      </c>
      <c r="B72" s="20" t="s">
        <v>327</v>
      </c>
      <c r="C72" s="92">
        <f t="shared" si="6"/>
        <v>0</v>
      </c>
      <c r="D72" s="88">
        <v>0</v>
      </c>
      <c r="E72" s="88">
        <v>0</v>
      </c>
      <c r="F72" s="88">
        <v>0</v>
      </c>
      <c r="G72" s="88">
        <v>0</v>
      </c>
      <c r="H72" s="88">
        <v>0</v>
      </c>
      <c r="I72" s="88">
        <v>0</v>
      </c>
    </row>
    <row r="73" spans="1:9" s="20" customFormat="1">
      <c r="A73" s="87" t="s">
        <v>78</v>
      </c>
      <c r="B73" s="20" t="s">
        <v>328</v>
      </c>
      <c r="C73" s="92">
        <f t="shared" si="6"/>
        <v>0</v>
      </c>
      <c r="D73" s="88">
        <v>0</v>
      </c>
      <c r="E73" s="88">
        <v>0</v>
      </c>
      <c r="F73" s="88">
        <v>0</v>
      </c>
      <c r="G73" s="88">
        <v>0</v>
      </c>
      <c r="H73" s="88">
        <v>0</v>
      </c>
      <c r="I73" s="88">
        <v>0</v>
      </c>
    </row>
    <row r="74" spans="1:9">
      <c r="A74" s="87" t="s">
        <v>79</v>
      </c>
      <c r="B74" s="20" t="s">
        <v>329</v>
      </c>
      <c r="C74" s="92">
        <f t="shared" si="6"/>
        <v>0</v>
      </c>
      <c r="D74" s="88">
        <v>0</v>
      </c>
      <c r="E74" s="88">
        <v>0</v>
      </c>
      <c r="F74" s="88">
        <v>0</v>
      </c>
      <c r="G74" s="88">
        <v>0</v>
      </c>
      <c r="H74" s="88">
        <v>0</v>
      </c>
      <c r="I74" s="88">
        <v>0</v>
      </c>
    </row>
    <row r="75" spans="1:9">
      <c r="A75" s="87" t="s">
        <v>80</v>
      </c>
      <c r="B75" s="20" t="s">
        <v>330</v>
      </c>
      <c r="C75" s="92">
        <f t="shared" si="6"/>
        <v>0</v>
      </c>
      <c r="D75" s="88">
        <v>0</v>
      </c>
      <c r="E75" s="88">
        <v>0</v>
      </c>
      <c r="F75" s="88">
        <v>0</v>
      </c>
      <c r="G75" s="88">
        <v>0</v>
      </c>
      <c r="H75" s="88">
        <v>0</v>
      </c>
      <c r="I75" s="88">
        <v>0</v>
      </c>
    </row>
    <row r="76" spans="1:9">
      <c r="A76" s="87" t="s">
        <v>81</v>
      </c>
      <c r="B76" s="20" t="s">
        <v>331</v>
      </c>
      <c r="C76" s="92">
        <f t="shared" si="6"/>
        <v>9414960</v>
      </c>
      <c r="D76" s="88">
        <v>3762640</v>
      </c>
      <c r="E76" s="88">
        <v>0</v>
      </c>
      <c r="F76" s="88">
        <v>5466170</v>
      </c>
      <c r="G76" s="88">
        <v>186150</v>
      </c>
      <c r="H76" s="88">
        <v>0</v>
      </c>
      <c r="I76" s="88">
        <v>0</v>
      </c>
    </row>
    <row r="77" spans="1:9">
      <c r="A77" s="87" t="s">
        <v>82</v>
      </c>
      <c r="B77" s="20" t="s">
        <v>332</v>
      </c>
      <c r="C77" s="92">
        <f t="shared" si="6"/>
        <v>0</v>
      </c>
      <c r="D77" s="88">
        <v>0</v>
      </c>
      <c r="E77" s="88">
        <v>0</v>
      </c>
      <c r="F77" s="88">
        <v>0</v>
      </c>
      <c r="G77" s="88">
        <v>0</v>
      </c>
      <c r="H77" s="88">
        <v>0</v>
      </c>
      <c r="I77" s="88">
        <v>0</v>
      </c>
    </row>
    <row r="78" spans="1:9">
      <c r="A78" s="87" t="s">
        <v>93</v>
      </c>
      <c r="B78" s="20" t="s">
        <v>333</v>
      </c>
      <c r="C78" s="92">
        <f t="shared" si="6"/>
        <v>0</v>
      </c>
      <c r="D78" s="88">
        <v>0</v>
      </c>
      <c r="E78" s="88">
        <v>0</v>
      </c>
      <c r="F78" s="88">
        <v>0</v>
      </c>
      <c r="G78" s="88">
        <v>0</v>
      </c>
      <c r="H78" s="88">
        <v>0</v>
      </c>
      <c r="I78" s="88">
        <v>0</v>
      </c>
    </row>
    <row r="79" spans="1:9">
      <c r="A79" s="87" t="s">
        <v>94</v>
      </c>
      <c r="B79" s="20" t="s">
        <v>334</v>
      </c>
      <c r="C79" s="92">
        <f t="shared" si="6"/>
        <v>0</v>
      </c>
      <c r="D79" s="88">
        <v>0</v>
      </c>
      <c r="E79" s="88">
        <v>0</v>
      </c>
      <c r="F79" s="88">
        <v>0</v>
      </c>
      <c r="G79" s="88">
        <v>0</v>
      </c>
      <c r="H79" s="88">
        <v>0</v>
      </c>
      <c r="I79" s="88">
        <v>0</v>
      </c>
    </row>
    <row r="80" spans="1:9">
      <c r="A80" s="87" t="s">
        <v>151</v>
      </c>
      <c r="B80" s="20" t="s">
        <v>335</v>
      </c>
      <c r="C80" s="92">
        <f t="shared" si="6"/>
        <v>0</v>
      </c>
      <c r="D80" s="88">
        <v>0</v>
      </c>
      <c r="E80" s="88">
        <v>0</v>
      </c>
      <c r="F80" s="88">
        <v>0</v>
      </c>
      <c r="G80" s="88">
        <v>0</v>
      </c>
      <c r="H80" s="88">
        <v>0</v>
      </c>
      <c r="I80" s="88">
        <v>0</v>
      </c>
    </row>
    <row r="81" spans="1:9">
      <c r="A81" s="87" t="s">
        <v>153</v>
      </c>
      <c r="B81" s="20" t="s">
        <v>336</v>
      </c>
      <c r="C81" s="92">
        <f t="shared" si="6"/>
        <v>0</v>
      </c>
      <c r="D81" s="88">
        <v>0</v>
      </c>
      <c r="E81" s="88">
        <v>0</v>
      </c>
      <c r="F81" s="88">
        <v>0</v>
      </c>
      <c r="G81" s="88">
        <v>0</v>
      </c>
      <c r="H81" s="88">
        <v>0</v>
      </c>
      <c r="I81" s="88">
        <v>0</v>
      </c>
    </row>
    <row r="82" spans="1:9">
      <c r="A82" s="87" t="s">
        <v>155</v>
      </c>
      <c r="B82" s="20" t="s">
        <v>337</v>
      </c>
      <c r="C82" s="92">
        <f t="shared" si="6"/>
        <v>78180</v>
      </c>
      <c r="D82" s="88">
        <v>0</v>
      </c>
      <c r="E82" s="88">
        <v>0</v>
      </c>
      <c r="F82" s="88">
        <v>0</v>
      </c>
      <c r="G82" s="88">
        <v>0</v>
      </c>
      <c r="H82" s="88">
        <v>0</v>
      </c>
      <c r="I82" s="88">
        <v>78180</v>
      </c>
    </row>
    <row r="83" spans="1:9" s="7" customFormat="1">
      <c r="A83" s="87" t="s">
        <v>157</v>
      </c>
      <c r="B83" s="20" t="s">
        <v>338</v>
      </c>
      <c r="C83" s="92">
        <f t="shared" si="6"/>
        <v>275310</v>
      </c>
      <c r="D83" s="88">
        <v>0</v>
      </c>
      <c r="E83" s="88">
        <v>0</v>
      </c>
      <c r="F83" s="88">
        <v>0</v>
      </c>
      <c r="G83" s="88">
        <v>0</v>
      </c>
      <c r="H83" s="88">
        <v>275310</v>
      </c>
      <c r="I83" s="88">
        <v>0</v>
      </c>
    </row>
    <row r="84" spans="1:9" s="10" customFormat="1">
      <c r="A84" s="87" t="s">
        <v>159</v>
      </c>
      <c r="B84" s="20" t="s">
        <v>339</v>
      </c>
      <c r="C84" s="92">
        <f t="shared" si="6"/>
        <v>15560</v>
      </c>
      <c r="D84" s="88">
        <v>0</v>
      </c>
      <c r="E84" s="88">
        <v>0</v>
      </c>
      <c r="F84" s="88">
        <v>15560</v>
      </c>
      <c r="G84" s="88">
        <v>0</v>
      </c>
      <c r="H84" s="88">
        <v>0</v>
      </c>
      <c r="I84" s="88">
        <v>0</v>
      </c>
    </row>
    <row r="85" spans="1:9" s="10" customFormat="1">
      <c r="A85" s="87" t="s">
        <v>305</v>
      </c>
      <c r="B85" s="20" t="s">
        <v>340</v>
      </c>
      <c r="C85" s="92">
        <f t="shared" si="6"/>
        <v>0</v>
      </c>
      <c r="D85" s="88">
        <v>0</v>
      </c>
      <c r="E85" s="88">
        <v>0</v>
      </c>
      <c r="F85" s="88">
        <v>0</v>
      </c>
      <c r="G85" s="88">
        <v>0</v>
      </c>
      <c r="H85" s="88">
        <v>0</v>
      </c>
      <c r="I85" s="88">
        <v>0</v>
      </c>
    </row>
    <row r="86" spans="1:9" s="10" customFormat="1">
      <c r="A86" s="87" t="s">
        <v>129</v>
      </c>
      <c r="B86" s="20" t="s">
        <v>341</v>
      </c>
      <c r="C86" s="92">
        <f t="shared" si="6"/>
        <v>0</v>
      </c>
      <c r="D86" s="88">
        <v>0</v>
      </c>
      <c r="E86" s="88">
        <v>0</v>
      </c>
      <c r="F86" s="88">
        <v>0</v>
      </c>
      <c r="G86" s="88">
        <v>0</v>
      </c>
      <c r="H86" s="88">
        <v>0</v>
      </c>
      <c r="I86" s="88">
        <v>0</v>
      </c>
    </row>
    <row r="87" spans="1:9" s="10" customFormat="1">
      <c r="A87" s="87" t="s">
        <v>306</v>
      </c>
      <c r="B87" s="20" t="s">
        <v>342</v>
      </c>
      <c r="C87" s="92">
        <f t="shared" si="6"/>
        <v>3591000</v>
      </c>
      <c r="D87" s="88">
        <v>0</v>
      </c>
      <c r="E87" s="88">
        <v>3591000</v>
      </c>
      <c r="F87" s="88">
        <v>0</v>
      </c>
      <c r="G87" s="88">
        <v>0</v>
      </c>
      <c r="H87" s="88">
        <v>0</v>
      </c>
      <c r="I87" s="88">
        <v>0</v>
      </c>
    </row>
    <row r="88" spans="1:9" s="10" customFormat="1">
      <c r="A88" s="87" t="s">
        <v>216</v>
      </c>
      <c r="B88" s="20" t="s">
        <v>343</v>
      </c>
      <c r="C88" s="92">
        <f t="shared" si="6"/>
        <v>0</v>
      </c>
      <c r="D88" s="88">
        <v>0</v>
      </c>
      <c r="E88" s="88">
        <v>0</v>
      </c>
      <c r="F88" s="88">
        <v>0</v>
      </c>
      <c r="G88" s="88">
        <v>0</v>
      </c>
      <c r="H88" s="88">
        <v>0</v>
      </c>
      <c r="I88" s="88">
        <v>0</v>
      </c>
    </row>
    <row r="89" spans="1:9" s="10" customFormat="1">
      <c r="A89" s="87" t="s">
        <v>347</v>
      </c>
      <c r="B89" s="20" t="s">
        <v>344</v>
      </c>
      <c r="C89" s="92">
        <f t="shared" si="6"/>
        <v>0</v>
      </c>
      <c r="D89" s="88">
        <v>0</v>
      </c>
      <c r="E89" s="88">
        <v>0</v>
      </c>
      <c r="F89" s="88">
        <v>0</v>
      </c>
      <c r="G89" s="88">
        <v>0</v>
      </c>
      <c r="H89" s="88">
        <v>0</v>
      </c>
      <c r="I89" s="88">
        <v>0</v>
      </c>
    </row>
    <row r="90" spans="1:9" s="10" customFormat="1">
      <c r="A90" s="87" t="s">
        <v>218</v>
      </c>
      <c r="B90" s="20" t="s">
        <v>345</v>
      </c>
      <c r="C90" s="92">
        <f t="shared" si="6"/>
        <v>1249500</v>
      </c>
      <c r="D90" s="88">
        <v>1650</v>
      </c>
      <c r="E90" s="88">
        <v>0</v>
      </c>
      <c r="F90" s="88">
        <v>0</v>
      </c>
      <c r="G90" s="88">
        <v>1240600</v>
      </c>
      <c r="H90" s="88">
        <v>0</v>
      </c>
      <c r="I90" s="88">
        <v>7250</v>
      </c>
    </row>
    <row r="91" spans="1:9">
      <c r="A91" s="87" t="s">
        <v>348</v>
      </c>
      <c r="B91" s="20" t="s">
        <v>346</v>
      </c>
      <c r="C91" s="92">
        <f t="shared" si="6"/>
        <v>2166410</v>
      </c>
      <c r="D91" s="88">
        <v>1948090</v>
      </c>
      <c r="E91" s="88">
        <v>0</v>
      </c>
      <c r="F91" s="88">
        <v>0</v>
      </c>
      <c r="G91" s="88">
        <v>0</v>
      </c>
      <c r="H91" s="88">
        <v>0</v>
      </c>
      <c r="I91" s="88">
        <v>218320</v>
      </c>
    </row>
    <row r="92" spans="1:9" s="7" customFormat="1">
      <c r="A92" s="67"/>
      <c r="B92" s="89" t="s">
        <v>300</v>
      </c>
      <c r="C92" s="72">
        <f t="shared" ref="C92:I92" si="7">SUM(C70:C91)</f>
        <v>16790920</v>
      </c>
      <c r="D92" s="72">
        <f t="shared" si="7"/>
        <v>5712380</v>
      </c>
      <c r="E92" s="72">
        <f t="shared" si="7"/>
        <v>3591000</v>
      </c>
      <c r="F92" s="72">
        <f t="shared" si="7"/>
        <v>5481730</v>
      </c>
      <c r="G92" s="72">
        <f t="shared" si="7"/>
        <v>1426750</v>
      </c>
      <c r="H92" s="72">
        <f t="shared" si="7"/>
        <v>275310</v>
      </c>
      <c r="I92" s="72">
        <f t="shared" si="7"/>
        <v>303750</v>
      </c>
    </row>
    <row r="94" spans="1:9" s="9" customFormat="1" ht="12">
      <c r="A94" s="71" t="s">
        <v>69</v>
      </c>
      <c r="B94" s="71" t="s">
        <v>349</v>
      </c>
      <c r="C94" s="71" t="s">
        <v>239</v>
      </c>
      <c r="D94" s="71" t="s">
        <v>408</v>
      </c>
      <c r="E94" s="71" t="s">
        <v>413</v>
      </c>
      <c r="F94" s="71" t="s">
        <v>414</v>
      </c>
      <c r="G94" s="71" t="s">
        <v>536</v>
      </c>
      <c r="H94" s="71" t="s">
        <v>415</v>
      </c>
      <c r="I94" s="71" t="s">
        <v>416</v>
      </c>
    </row>
    <row r="95" spans="1:9" s="80" customFormat="1">
      <c r="A95" s="93" t="s">
        <v>350</v>
      </c>
      <c r="D95" s="80">
        <v>441</v>
      </c>
      <c r="E95" s="80">
        <v>443</v>
      </c>
      <c r="F95" s="80">
        <v>445</v>
      </c>
      <c r="G95" s="80">
        <v>446</v>
      </c>
      <c r="H95" s="80">
        <v>447</v>
      </c>
      <c r="I95" s="80">
        <v>451</v>
      </c>
    </row>
    <row r="96" spans="1:9" s="83" customFormat="1">
      <c r="A96" s="87" t="s">
        <v>74</v>
      </c>
      <c r="B96" s="20" t="s">
        <v>351</v>
      </c>
      <c r="C96" s="92">
        <f t="shared" ref="C96:C106" si="8">SUM(D96:I96)</f>
        <v>389020</v>
      </c>
      <c r="D96" s="88">
        <v>389020</v>
      </c>
      <c r="E96" s="88">
        <v>0</v>
      </c>
      <c r="F96" s="88">
        <v>0</v>
      </c>
      <c r="G96" s="88">
        <v>0</v>
      </c>
      <c r="H96" s="88">
        <v>0</v>
      </c>
      <c r="I96" s="88">
        <v>0</v>
      </c>
    </row>
    <row r="97" spans="1:9">
      <c r="A97" s="87" t="s">
        <v>76</v>
      </c>
      <c r="B97" s="20" t="s">
        <v>352</v>
      </c>
      <c r="C97" s="92">
        <f t="shared" si="8"/>
        <v>33910</v>
      </c>
      <c r="D97" s="88">
        <v>6610</v>
      </c>
      <c r="E97" s="88">
        <v>0</v>
      </c>
      <c r="F97" s="88">
        <v>0</v>
      </c>
      <c r="G97" s="88">
        <v>0</v>
      </c>
      <c r="H97" s="88">
        <v>27300</v>
      </c>
      <c r="I97" s="88">
        <v>0</v>
      </c>
    </row>
    <row r="98" spans="1:9" s="20" customFormat="1">
      <c r="A98" s="87" t="s">
        <v>77</v>
      </c>
      <c r="B98" s="20" t="s">
        <v>353</v>
      </c>
      <c r="C98" s="92">
        <f t="shared" si="8"/>
        <v>0</v>
      </c>
      <c r="D98" s="88">
        <v>0</v>
      </c>
      <c r="E98" s="88">
        <v>0</v>
      </c>
      <c r="F98" s="88">
        <v>0</v>
      </c>
      <c r="G98" s="88">
        <v>0</v>
      </c>
      <c r="H98" s="88">
        <v>0</v>
      </c>
      <c r="I98" s="88">
        <v>0</v>
      </c>
    </row>
    <row r="99" spans="1:9" s="20" customFormat="1">
      <c r="A99" s="87" t="s">
        <v>78</v>
      </c>
      <c r="B99" s="20" t="s">
        <v>354</v>
      </c>
      <c r="C99" s="92">
        <f t="shared" si="8"/>
        <v>0</v>
      </c>
      <c r="D99" s="88">
        <v>0</v>
      </c>
      <c r="E99" s="88">
        <v>0</v>
      </c>
      <c r="F99" s="88">
        <v>0</v>
      </c>
      <c r="G99" s="88">
        <v>0</v>
      </c>
      <c r="H99" s="88">
        <v>0</v>
      </c>
      <c r="I99" s="88">
        <v>0</v>
      </c>
    </row>
    <row r="100" spans="1:9">
      <c r="A100" s="87" t="s">
        <v>79</v>
      </c>
      <c r="B100" s="20" t="s">
        <v>355</v>
      </c>
      <c r="C100" s="92">
        <f t="shared" si="8"/>
        <v>0</v>
      </c>
      <c r="D100" s="88">
        <v>0</v>
      </c>
      <c r="E100" s="88">
        <v>0</v>
      </c>
      <c r="F100" s="88">
        <v>0</v>
      </c>
      <c r="G100" s="88">
        <v>0</v>
      </c>
      <c r="H100" s="88">
        <v>0</v>
      </c>
      <c r="I100" s="88">
        <v>0</v>
      </c>
    </row>
    <row r="101" spans="1:9">
      <c r="A101" s="87" t="s">
        <v>80</v>
      </c>
      <c r="B101" s="20" t="s">
        <v>356</v>
      </c>
      <c r="C101" s="92">
        <f t="shared" si="8"/>
        <v>0</v>
      </c>
      <c r="D101" s="88">
        <v>0</v>
      </c>
      <c r="E101" s="88">
        <v>0</v>
      </c>
      <c r="F101" s="88">
        <v>0</v>
      </c>
      <c r="G101" s="88">
        <v>0</v>
      </c>
      <c r="H101" s="88">
        <v>0</v>
      </c>
      <c r="I101" s="88">
        <v>0</v>
      </c>
    </row>
    <row r="102" spans="1:9">
      <c r="A102" s="87" t="s">
        <v>81</v>
      </c>
      <c r="B102" s="20" t="s">
        <v>357</v>
      </c>
      <c r="C102" s="92">
        <f t="shared" si="8"/>
        <v>0</v>
      </c>
      <c r="D102" s="88">
        <v>0</v>
      </c>
      <c r="E102" s="88">
        <v>0</v>
      </c>
      <c r="F102" s="88">
        <v>0</v>
      </c>
      <c r="G102" s="88">
        <v>0</v>
      </c>
      <c r="H102" s="88">
        <v>0</v>
      </c>
      <c r="I102" s="88">
        <v>0</v>
      </c>
    </row>
    <row r="103" spans="1:9">
      <c r="A103" s="87" t="s">
        <v>82</v>
      </c>
      <c r="B103" s="20" t="s">
        <v>358</v>
      </c>
      <c r="C103" s="92">
        <f t="shared" si="8"/>
        <v>14660</v>
      </c>
      <c r="D103" s="88">
        <v>0</v>
      </c>
      <c r="E103" s="88">
        <v>0</v>
      </c>
      <c r="F103" s="88">
        <v>0</v>
      </c>
      <c r="G103" s="88">
        <v>0</v>
      </c>
      <c r="H103" s="88">
        <v>0</v>
      </c>
      <c r="I103" s="88">
        <v>14660</v>
      </c>
    </row>
    <row r="104" spans="1:9">
      <c r="A104" s="87" t="s">
        <v>93</v>
      </c>
      <c r="B104" s="20" t="s">
        <v>359</v>
      </c>
      <c r="C104" s="92">
        <f t="shared" si="8"/>
        <v>30000</v>
      </c>
      <c r="D104" s="88">
        <v>0</v>
      </c>
      <c r="E104" s="88">
        <v>0</v>
      </c>
      <c r="F104" s="88">
        <v>0</v>
      </c>
      <c r="G104" s="88">
        <v>0</v>
      </c>
      <c r="H104" s="88">
        <v>0</v>
      </c>
      <c r="I104" s="88">
        <v>30000</v>
      </c>
    </row>
    <row r="105" spans="1:9">
      <c r="A105" s="87" t="s">
        <v>94</v>
      </c>
      <c r="B105" s="20" t="s">
        <v>360</v>
      </c>
      <c r="C105" s="92">
        <f t="shared" si="8"/>
        <v>3590</v>
      </c>
      <c r="D105" s="88">
        <v>0</v>
      </c>
      <c r="E105" s="88">
        <v>0</v>
      </c>
      <c r="F105" s="88">
        <v>3590</v>
      </c>
      <c r="G105" s="88">
        <v>0</v>
      </c>
      <c r="H105" s="88">
        <v>0</v>
      </c>
      <c r="I105" s="88">
        <v>0</v>
      </c>
    </row>
    <row r="106" spans="1:9">
      <c r="A106" s="87" t="s">
        <v>362</v>
      </c>
      <c r="B106" s="20" t="s">
        <v>361</v>
      </c>
      <c r="C106" s="92">
        <f t="shared" si="8"/>
        <v>205450</v>
      </c>
      <c r="D106" s="88">
        <v>187500</v>
      </c>
      <c r="E106" s="88">
        <v>17950</v>
      </c>
      <c r="F106" s="88">
        <v>0</v>
      </c>
      <c r="G106" s="88">
        <v>0</v>
      </c>
      <c r="H106" s="88">
        <v>0</v>
      </c>
      <c r="I106" s="88">
        <v>0</v>
      </c>
    </row>
    <row r="107" spans="1:9" s="7" customFormat="1">
      <c r="A107" s="67"/>
      <c r="B107" s="89" t="s">
        <v>300</v>
      </c>
      <c r="C107" s="72">
        <f t="shared" ref="C107:I107" si="9">SUM(C96:C106)</f>
        <v>676630</v>
      </c>
      <c r="D107" s="72">
        <f t="shared" si="9"/>
        <v>583130</v>
      </c>
      <c r="E107" s="72">
        <f t="shared" si="9"/>
        <v>17950</v>
      </c>
      <c r="F107" s="72">
        <f t="shared" si="9"/>
        <v>3590</v>
      </c>
      <c r="G107" s="72">
        <f t="shared" si="9"/>
        <v>0</v>
      </c>
      <c r="H107" s="72">
        <f t="shared" si="9"/>
        <v>27300</v>
      </c>
      <c r="I107" s="72">
        <f t="shared" si="9"/>
        <v>44660</v>
      </c>
    </row>
    <row r="109" spans="1:9" s="9" customFormat="1" ht="12">
      <c r="A109" s="71" t="s">
        <v>69</v>
      </c>
      <c r="B109" s="71" t="s">
        <v>375</v>
      </c>
      <c r="C109" s="71" t="s">
        <v>239</v>
      </c>
      <c r="D109" s="71" t="s">
        <v>408</v>
      </c>
      <c r="E109" s="71" t="s">
        <v>413</v>
      </c>
      <c r="F109" s="71" t="s">
        <v>414</v>
      </c>
      <c r="G109" s="71" t="s">
        <v>536</v>
      </c>
      <c r="H109" s="71" t="s">
        <v>415</v>
      </c>
      <c r="I109" s="71" t="s">
        <v>416</v>
      </c>
    </row>
    <row r="110" spans="1:9" s="80" customFormat="1">
      <c r="A110" s="9"/>
      <c r="D110" s="80">
        <v>441</v>
      </c>
      <c r="E110" s="80">
        <v>443</v>
      </c>
      <c r="F110" s="80">
        <v>445</v>
      </c>
      <c r="G110" s="80">
        <v>446</v>
      </c>
      <c r="H110" s="80">
        <v>447</v>
      </c>
      <c r="I110" s="80">
        <v>451</v>
      </c>
    </row>
    <row r="111" spans="1:9" s="10" customFormat="1">
      <c r="A111" s="90" t="s">
        <v>366</v>
      </c>
      <c r="B111" s="91" t="s">
        <v>364</v>
      </c>
      <c r="C111" s="92">
        <f t="shared" ref="C111:C123" si="10">SUM(D111:I111)</f>
        <v>0</v>
      </c>
      <c r="D111" s="92">
        <f>+D112</f>
        <v>0</v>
      </c>
      <c r="E111" s="92">
        <f>+E112</f>
        <v>0</v>
      </c>
      <c r="F111" s="92">
        <f>+F112</f>
        <v>0</v>
      </c>
      <c r="G111" s="92"/>
      <c r="H111" s="92">
        <f>+H112</f>
        <v>0</v>
      </c>
      <c r="I111" s="92">
        <f>+I112</f>
        <v>0</v>
      </c>
    </row>
    <row r="112" spans="1:9">
      <c r="A112" s="87" t="s">
        <v>363</v>
      </c>
      <c r="B112" s="20" t="s">
        <v>365</v>
      </c>
      <c r="C112" s="84">
        <f t="shared" si="10"/>
        <v>0</v>
      </c>
      <c r="D112" s="88">
        <v>0</v>
      </c>
      <c r="E112" s="88">
        <v>0</v>
      </c>
      <c r="F112" s="88">
        <v>0</v>
      </c>
      <c r="G112" s="88">
        <v>0</v>
      </c>
      <c r="H112" s="88">
        <v>0</v>
      </c>
      <c r="I112" s="88">
        <v>0</v>
      </c>
    </row>
    <row r="113" spans="1:14" s="10" customFormat="1">
      <c r="A113" s="90" t="s">
        <v>367</v>
      </c>
      <c r="B113" s="91" t="s">
        <v>369</v>
      </c>
      <c r="C113" s="92">
        <f t="shared" si="10"/>
        <v>0</v>
      </c>
      <c r="D113" s="92">
        <f>+D114</f>
        <v>0</v>
      </c>
      <c r="E113" s="92">
        <f>+E114</f>
        <v>0</v>
      </c>
      <c r="F113" s="92">
        <f>+F114</f>
        <v>0</v>
      </c>
      <c r="G113" s="92"/>
      <c r="H113" s="92">
        <f>+H114</f>
        <v>0</v>
      </c>
      <c r="I113" s="92">
        <f>+I114</f>
        <v>0</v>
      </c>
    </row>
    <row r="114" spans="1:14">
      <c r="A114" s="87" t="s">
        <v>368</v>
      </c>
      <c r="B114" s="20" t="s">
        <v>370</v>
      </c>
      <c r="C114" s="84">
        <f t="shared" si="10"/>
        <v>0</v>
      </c>
      <c r="D114" s="88">
        <v>0</v>
      </c>
      <c r="E114" s="88">
        <v>0</v>
      </c>
      <c r="F114" s="88">
        <v>0</v>
      </c>
      <c r="G114" s="88">
        <v>0</v>
      </c>
      <c r="H114" s="88">
        <v>0</v>
      </c>
      <c r="I114" s="88">
        <v>0</v>
      </c>
    </row>
    <row r="115" spans="1:14" s="10" customFormat="1">
      <c r="A115" s="90" t="s">
        <v>386</v>
      </c>
      <c r="B115" s="91" t="s">
        <v>387</v>
      </c>
      <c r="C115" s="92">
        <f t="shared" si="10"/>
        <v>0</v>
      </c>
      <c r="D115" s="92">
        <f>+D116</f>
        <v>0</v>
      </c>
      <c r="E115" s="92">
        <f>+E116</f>
        <v>0</v>
      </c>
      <c r="F115" s="92">
        <f>+F116</f>
        <v>0</v>
      </c>
      <c r="G115" s="92"/>
      <c r="H115" s="92">
        <f>+H116</f>
        <v>0</v>
      </c>
      <c r="I115" s="92">
        <f>+I116</f>
        <v>0</v>
      </c>
    </row>
    <row r="116" spans="1:14">
      <c r="A116" s="87" t="s">
        <v>386</v>
      </c>
      <c r="B116" s="20" t="s">
        <v>388</v>
      </c>
      <c r="C116" s="84">
        <f t="shared" si="10"/>
        <v>0</v>
      </c>
      <c r="D116" s="88">
        <v>0</v>
      </c>
      <c r="E116" s="88">
        <v>0</v>
      </c>
      <c r="F116" s="88">
        <v>0</v>
      </c>
      <c r="G116" s="88">
        <v>0</v>
      </c>
      <c r="H116" s="88">
        <v>0</v>
      </c>
      <c r="I116" s="88">
        <v>0</v>
      </c>
    </row>
    <row r="117" spans="1:14" s="10" customFormat="1">
      <c r="A117" s="90" t="s">
        <v>371</v>
      </c>
      <c r="B117" s="91" t="s">
        <v>372</v>
      </c>
      <c r="C117" s="92">
        <f t="shared" si="10"/>
        <v>0</v>
      </c>
      <c r="D117" s="92">
        <f>+D118</f>
        <v>0</v>
      </c>
      <c r="E117" s="92">
        <f>+E118</f>
        <v>0</v>
      </c>
      <c r="F117" s="92">
        <f>+F118</f>
        <v>0</v>
      </c>
      <c r="G117" s="92"/>
      <c r="H117" s="92">
        <f>+H118</f>
        <v>0</v>
      </c>
      <c r="I117" s="92">
        <f>+I118</f>
        <v>0</v>
      </c>
    </row>
    <row r="118" spans="1:14">
      <c r="A118" s="87" t="s">
        <v>374</v>
      </c>
      <c r="B118" s="20" t="s">
        <v>373</v>
      </c>
      <c r="C118" s="84">
        <f t="shared" si="10"/>
        <v>0</v>
      </c>
      <c r="D118" s="88">
        <v>0</v>
      </c>
      <c r="E118" s="88">
        <v>0</v>
      </c>
      <c r="F118" s="88">
        <v>0</v>
      </c>
      <c r="G118" s="88">
        <v>0</v>
      </c>
      <c r="H118" s="88">
        <v>0</v>
      </c>
      <c r="I118" s="88">
        <v>0</v>
      </c>
    </row>
    <row r="119" spans="1:14" s="10" customFormat="1">
      <c r="A119" s="90" t="s">
        <v>376</v>
      </c>
      <c r="B119" s="91" t="s">
        <v>377</v>
      </c>
      <c r="C119" s="92">
        <f t="shared" si="10"/>
        <v>0</v>
      </c>
      <c r="D119" s="92">
        <f>+D120</f>
        <v>0</v>
      </c>
      <c r="E119" s="92">
        <f>+E120</f>
        <v>0</v>
      </c>
      <c r="F119" s="92">
        <f>+F120</f>
        <v>0</v>
      </c>
      <c r="G119" s="92"/>
      <c r="H119" s="92">
        <f>+H120</f>
        <v>0</v>
      </c>
      <c r="I119" s="92">
        <f>+I120</f>
        <v>0</v>
      </c>
      <c r="N119" s="86"/>
    </row>
    <row r="120" spans="1:14">
      <c r="A120" s="87" t="s">
        <v>378</v>
      </c>
      <c r="B120" s="20" t="s">
        <v>379</v>
      </c>
      <c r="C120" s="84">
        <f t="shared" si="10"/>
        <v>0</v>
      </c>
      <c r="D120" s="88">
        <v>0</v>
      </c>
      <c r="E120" s="88">
        <v>0</v>
      </c>
      <c r="F120" s="88">
        <v>0</v>
      </c>
      <c r="G120" s="88">
        <v>0</v>
      </c>
      <c r="H120" s="88">
        <v>0</v>
      </c>
      <c r="I120" s="88">
        <v>0</v>
      </c>
    </row>
    <row r="121" spans="1:14" s="10" customFormat="1">
      <c r="A121" s="90" t="s">
        <v>380</v>
      </c>
      <c r="B121" s="91" t="s">
        <v>381</v>
      </c>
      <c r="C121" s="92">
        <f t="shared" si="10"/>
        <v>0</v>
      </c>
      <c r="D121" s="92">
        <f>SUM(D122:D123)</f>
        <v>0</v>
      </c>
      <c r="E121" s="92">
        <f>SUM(E122:E123)</f>
        <v>0</v>
      </c>
      <c r="F121" s="92">
        <f>SUM(F122:F123)</f>
        <v>0</v>
      </c>
      <c r="G121" s="92"/>
      <c r="H121" s="92">
        <f>SUM(H122:H123)</f>
        <v>0</v>
      </c>
      <c r="I121" s="92">
        <f>SUM(I122:I123)</f>
        <v>0</v>
      </c>
    </row>
    <row r="122" spans="1:14">
      <c r="A122" s="87" t="s">
        <v>382</v>
      </c>
      <c r="B122" s="20" t="s">
        <v>384</v>
      </c>
      <c r="C122" s="84">
        <f t="shared" si="10"/>
        <v>0</v>
      </c>
      <c r="D122" s="88">
        <v>0</v>
      </c>
      <c r="E122" s="88">
        <v>0</v>
      </c>
      <c r="F122" s="88">
        <v>0</v>
      </c>
      <c r="G122" s="88">
        <v>0</v>
      </c>
      <c r="H122" s="88">
        <v>0</v>
      </c>
      <c r="I122" s="88">
        <v>0</v>
      </c>
    </row>
    <row r="123" spans="1:14">
      <c r="A123" s="87" t="s">
        <v>383</v>
      </c>
      <c r="B123" s="20" t="s">
        <v>385</v>
      </c>
      <c r="C123" s="84">
        <f t="shared" si="10"/>
        <v>0</v>
      </c>
      <c r="D123" s="88">
        <v>0</v>
      </c>
      <c r="E123" s="88">
        <v>0</v>
      </c>
      <c r="F123" s="88">
        <v>0</v>
      </c>
      <c r="G123" s="88">
        <v>0</v>
      </c>
      <c r="H123" s="88">
        <v>0</v>
      </c>
      <c r="I123" s="88">
        <v>0</v>
      </c>
    </row>
    <row r="124" spans="1:14" s="7" customFormat="1">
      <c r="A124" s="67"/>
      <c r="B124" s="89" t="s">
        <v>300</v>
      </c>
      <c r="C124" s="72">
        <f>+C111+C113+C115+C117+C119+C121</f>
        <v>0</v>
      </c>
      <c r="D124" s="72">
        <f t="shared" ref="D124:I124" si="11">+D111+D113+D115+D117+D119+D121</f>
        <v>0</v>
      </c>
      <c r="E124" s="72">
        <f t="shared" si="11"/>
        <v>0</v>
      </c>
      <c r="F124" s="72">
        <f t="shared" si="11"/>
        <v>0</v>
      </c>
      <c r="G124" s="72"/>
      <c r="H124" s="72">
        <f t="shared" si="11"/>
        <v>0</v>
      </c>
      <c r="I124" s="72">
        <f t="shared" si="11"/>
        <v>0</v>
      </c>
    </row>
    <row r="125" spans="1:14">
      <c r="A125" s="67"/>
      <c r="B125" s="89" t="s">
        <v>393</v>
      </c>
      <c r="C125" s="72">
        <f>+C28+C46+C66+C92+C107+C124</f>
        <v>62963760</v>
      </c>
      <c r="D125" s="72">
        <f t="shared" ref="D125:I125" si="12">+D28+D46+D66+D92+D107+D124</f>
        <v>13495030</v>
      </c>
      <c r="E125" s="72">
        <f t="shared" si="12"/>
        <v>6917800</v>
      </c>
      <c r="F125" s="72">
        <f t="shared" si="12"/>
        <v>23385390</v>
      </c>
      <c r="G125" s="72">
        <f t="shared" si="12"/>
        <v>2248140</v>
      </c>
      <c r="H125" s="72">
        <f t="shared" si="12"/>
        <v>9605510</v>
      </c>
      <c r="I125" s="72">
        <f t="shared" si="12"/>
        <v>7311890</v>
      </c>
    </row>
    <row r="126" spans="1:14">
      <c r="D126" s="94"/>
      <c r="E126" s="94"/>
      <c r="F126" s="94"/>
      <c r="G126" s="94"/>
      <c r="H126" s="94"/>
      <c r="I126" s="94"/>
    </row>
    <row r="127" spans="1:14">
      <c r="D127" s="94"/>
      <c r="I127" s="94"/>
    </row>
    <row r="128" spans="1:14">
      <c r="D128" s="94"/>
    </row>
  </sheetData>
  <mergeCells count="3">
    <mergeCell ref="B8:I8"/>
    <mergeCell ref="B9:I9"/>
    <mergeCell ref="A10:I10"/>
  </mergeCells>
  <printOptions horizontalCentered="1"/>
  <pageMargins left="0" right="0" top="0.47244094488188981" bottom="0.47244094488188981" header="0.31496062992125984" footer="0.31496062992125984"/>
  <pageSetup paperSize="9" scale="67" orientation="landscape" r:id="rId1"/>
  <rowBreaks count="2" manualBreakCount="2">
    <brk id="46" max="16383" man="1"/>
    <brk id="92" max="16383" man="1"/>
  </rowBreaks>
  <drawing r:id="rId2"/>
</worksheet>
</file>

<file path=xl/worksheets/sheet19.xml><?xml version="1.0" encoding="utf-8"?>
<worksheet xmlns="http://schemas.openxmlformats.org/spreadsheetml/2006/main" xmlns:r="http://schemas.openxmlformats.org/officeDocument/2006/relationships">
  <dimension ref="A1:M131"/>
  <sheetViews>
    <sheetView zoomScale="86" zoomScaleNormal="86" workbookViewId="0">
      <selection activeCell="J110" sqref="J110:J111"/>
    </sheetView>
  </sheetViews>
  <sheetFormatPr baseColWidth="10" defaultRowHeight="15"/>
  <cols>
    <col min="1" max="1" width="6.85546875" bestFit="1" customWidth="1"/>
    <col min="2" max="2" width="37.140625" bestFit="1" customWidth="1"/>
    <col min="3" max="3" width="17.28515625" bestFit="1" customWidth="1"/>
    <col min="4" max="4" width="15.42578125" bestFit="1" customWidth="1"/>
    <col min="5" max="6" width="16.28515625" bestFit="1" customWidth="1"/>
    <col min="7" max="7" width="15.42578125" bestFit="1" customWidth="1"/>
    <col min="8" max="8" width="16.28515625" bestFit="1" customWidth="1"/>
    <col min="13" max="13" width="11.5703125" bestFit="1" customWidth="1"/>
  </cols>
  <sheetData>
    <row r="1" spans="1:8" s="1" customFormat="1">
      <c r="B1"/>
    </row>
    <row r="2" spans="1:8" s="1" customFormat="1" ht="12.75"/>
    <row r="3" spans="1:8" s="1" customFormat="1" ht="12.75"/>
    <row r="4" spans="1:8" s="1" customFormat="1" ht="12.75"/>
    <row r="5" spans="1:8" s="1" customFormat="1" ht="13.5" thickBot="1">
      <c r="A5" s="6"/>
      <c r="B5" s="6"/>
      <c r="C5" s="6"/>
      <c r="D5" s="6"/>
      <c r="E5" s="6"/>
      <c r="F5" s="6"/>
      <c r="G5" s="6"/>
      <c r="H5" s="6"/>
    </row>
    <row r="6" spans="1:8" ht="15.75" thickTop="1"/>
    <row r="7" spans="1:8" s="20" customFormat="1" ht="12.75">
      <c r="B7" s="20" t="s">
        <v>867</v>
      </c>
    </row>
    <row r="8" spans="1:8">
      <c r="B8" s="390" t="s">
        <v>747</v>
      </c>
      <c r="C8" s="390"/>
      <c r="D8" s="390"/>
      <c r="E8" s="390"/>
      <c r="F8" s="390"/>
      <c r="G8" s="390"/>
      <c r="H8" s="390"/>
    </row>
    <row r="9" spans="1:8">
      <c r="B9" s="390" t="s">
        <v>238</v>
      </c>
      <c r="C9" s="390"/>
      <c r="D9" s="390"/>
      <c r="E9" s="390"/>
      <c r="F9" s="390"/>
      <c r="G9" s="390"/>
      <c r="H9" s="390"/>
    </row>
    <row r="10" spans="1:8">
      <c r="A10" s="391" t="s">
        <v>700</v>
      </c>
      <c r="B10" s="391"/>
      <c r="C10" s="391"/>
      <c r="D10" s="391"/>
      <c r="E10" s="391"/>
      <c r="F10" s="391"/>
      <c r="G10" s="391"/>
      <c r="H10" s="391"/>
    </row>
    <row r="12" spans="1:8" s="9" customFormat="1" ht="12">
      <c r="A12" s="71" t="s">
        <v>69</v>
      </c>
      <c r="B12" s="71" t="s">
        <v>284</v>
      </c>
      <c r="C12" s="71" t="s">
        <v>239</v>
      </c>
      <c r="D12" s="71" t="s">
        <v>417</v>
      </c>
      <c r="E12" s="71" t="s">
        <v>418</v>
      </c>
      <c r="F12" s="71" t="s">
        <v>410</v>
      </c>
      <c r="G12" s="71" t="s">
        <v>411</v>
      </c>
      <c r="H12" s="71" t="s">
        <v>419</v>
      </c>
    </row>
    <row r="13" spans="1:8">
      <c r="C13" s="80"/>
      <c r="D13" s="80">
        <v>461</v>
      </c>
      <c r="E13" s="80">
        <v>462</v>
      </c>
      <c r="F13" s="80">
        <v>463</v>
      </c>
      <c r="G13" s="80">
        <v>471</v>
      </c>
      <c r="H13" s="80">
        <v>481</v>
      </c>
    </row>
    <row r="14" spans="1:8" s="83" customFormat="1">
      <c r="A14" s="87" t="s">
        <v>74</v>
      </c>
      <c r="B14" s="20" t="s">
        <v>286</v>
      </c>
      <c r="C14" s="92">
        <f t="shared" ref="C14:C27" si="0">SUM(D14:H14)</f>
        <v>11095190</v>
      </c>
      <c r="D14" s="88">
        <v>286030</v>
      </c>
      <c r="E14" s="88">
        <v>4181270</v>
      </c>
      <c r="F14" s="88">
        <v>370890</v>
      </c>
      <c r="G14" s="88">
        <v>694690</v>
      </c>
      <c r="H14" s="88">
        <v>5562310</v>
      </c>
    </row>
    <row r="15" spans="1:8">
      <c r="A15" s="87" t="s">
        <v>76</v>
      </c>
      <c r="B15" s="20" t="s">
        <v>287</v>
      </c>
      <c r="C15" s="92">
        <f t="shared" si="0"/>
        <v>3783520</v>
      </c>
      <c r="D15" s="88">
        <v>4710</v>
      </c>
      <c r="E15" s="88">
        <v>1322260</v>
      </c>
      <c r="F15" s="88">
        <v>2194580</v>
      </c>
      <c r="G15" s="88">
        <v>174440</v>
      </c>
      <c r="H15" s="88">
        <v>87530</v>
      </c>
    </row>
    <row r="16" spans="1:8" s="20" customFormat="1">
      <c r="A16" s="87" t="s">
        <v>77</v>
      </c>
      <c r="B16" s="20" t="s">
        <v>288</v>
      </c>
      <c r="C16" s="92">
        <f t="shared" si="0"/>
        <v>0</v>
      </c>
      <c r="D16" s="88">
        <v>0</v>
      </c>
      <c r="E16" s="88">
        <v>0</v>
      </c>
      <c r="F16" s="88">
        <v>0</v>
      </c>
      <c r="G16" s="88">
        <v>0</v>
      </c>
      <c r="H16" s="88">
        <v>0</v>
      </c>
    </row>
    <row r="17" spans="1:8" s="20" customFormat="1">
      <c r="A17" s="87" t="s">
        <v>78</v>
      </c>
      <c r="B17" s="20" t="s">
        <v>289</v>
      </c>
      <c r="C17" s="92">
        <f t="shared" si="0"/>
        <v>0</v>
      </c>
      <c r="D17" s="88">
        <v>0</v>
      </c>
      <c r="E17" s="88">
        <v>0</v>
      </c>
      <c r="F17" s="88">
        <v>0</v>
      </c>
      <c r="G17" s="88">
        <v>0</v>
      </c>
      <c r="H17" s="88">
        <v>0</v>
      </c>
    </row>
    <row r="18" spans="1:8">
      <c r="A18" s="87" t="s">
        <v>79</v>
      </c>
      <c r="B18" s="20" t="s">
        <v>290</v>
      </c>
      <c r="C18" s="92">
        <f t="shared" si="0"/>
        <v>14921160</v>
      </c>
      <c r="D18" s="88">
        <v>47090</v>
      </c>
      <c r="E18" s="88">
        <v>7193110</v>
      </c>
      <c r="F18" s="88">
        <v>6951340</v>
      </c>
      <c r="G18" s="88">
        <v>468900</v>
      </c>
      <c r="H18" s="88">
        <v>260720</v>
      </c>
    </row>
    <row r="19" spans="1:8">
      <c r="A19" s="87" t="s">
        <v>80</v>
      </c>
      <c r="B19" s="20" t="s">
        <v>291</v>
      </c>
      <c r="C19" s="92">
        <f t="shared" si="0"/>
        <v>1432600</v>
      </c>
      <c r="D19" s="88">
        <v>0</v>
      </c>
      <c r="E19" s="88">
        <v>710840</v>
      </c>
      <c r="F19" s="88">
        <v>715920</v>
      </c>
      <c r="G19" s="88">
        <v>0</v>
      </c>
      <c r="H19" s="88">
        <v>5840</v>
      </c>
    </row>
    <row r="20" spans="1:8">
      <c r="A20" s="87" t="s">
        <v>81</v>
      </c>
      <c r="B20" s="20" t="s">
        <v>292</v>
      </c>
      <c r="C20" s="92">
        <f t="shared" si="0"/>
        <v>3017690</v>
      </c>
      <c r="D20" s="88">
        <v>34580</v>
      </c>
      <c r="E20" s="88">
        <v>1261310</v>
      </c>
      <c r="F20" s="88">
        <v>1150480</v>
      </c>
      <c r="G20" s="88">
        <v>190360</v>
      </c>
      <c r="H20" s="88">
        <v>380960</v>
      </c>
    </row>
    <row r="21" spans="1:8">
      <c r="A21" s="87" t="s">
        <v>82</v>
      </c>
      <c r="B21" s="20" t="s">
        <v>293</v>
      </c>
      <c r="C21" s="92">
        <f t="shared" si="0"/>
        <v>1175810</v>
      </c>
      <c r="D21" s="88">
        <v>1990</v>
      </c>
      <c r="E21" s="88">
        <v>461240</v>
      </c>
      <c r="F21" s="88">
        <v>663060</v>
      </c>
      <c r="G21" s="88">
        <v>32440</v>
      </c>
      <c r="H21" s="88">
        <v>17080</v>
      </c>
    </row>
    <row r="22" spans="1:8" s="7" customFormat="1">
      <c r="A22" s="87" t="s">
        <v>93</v>
      </c>
      <c r="B22" s="20" t="s">
        <v>294</v>
      </c>
      <c r="C22" s="92">
        <f t="shared" si="0"/>
        <v>236960</v>
      </c>
      <c r="D22" s="88">
        <v>0</v>
      </c>
      <c r="E22" s="88">
        <v>0</v>
      </c>
      <c r="F22" s="88">
        <v>26920</v>
      </c>
      <c r="G22" s="88">
        <v>191890</v>
      </c>
      <c r="H22" s="88">
        <v>18150</v>
      </c>
    </row>
    <row r="23" spans="1:8" s="10" customFormat="1">
      <c r="A23" s="87" t="s">
        <v>94</v>
      </c>
      <c r="B23" s="20" t="s">
        <v>295</v>
      </c>
      <c r="C23" s="92">
        <f t="shared" si="0"/>
        <v>1029750</v>
      </c>
      <c r="D23" s="88">
        <f>3830+1600</f>
        <v>5430</v>
      </c>
      <c r="E23" s="88">
        <f>249770+102400</f>
        <v>352170</v>
      </c>
      <c r="F23" s="88">
        <f>435290+179200</f>
        <v>614490</v>
      </c>
      <c r="G23" s="88">
        <f>22210+8800</f>
        <v>31010</v>
      </c>
      <c r="H23" s="88">
        <f>18650+8000</f>
        <v>26650</v>
      </c>
    </row>
    <row r="24" spans="1:8">
      <c r="A24" s="87" t="s">
        <v>151</v>
      </c>
      <c r="B24" s="20" t="s">
        <v>296</v>
      </c>
      <c r="C24" s="92">
        <f t="shared" si="0"/>
        <v>3242580</v>
      </c>
      <c r="D24" s="88">
        <v>42440</v>
      </c>
      <c r="E24" s="88">
        <v>1235010</v>
      </c>
      <c r="F24" s="88">
        <v>1492760</v>
      </c>
      <c r="G24" s="88">
        <v>360580</v>
      </c>
      <c r="H24" s="88">
        <v>111790</v>
      </c>
    </row>
    <row r="25" spans="1:8">
      <c r="A25" s="87" t="s">
        <v>153</v>
      </c>
      <c r="B25" s="20" t="s">
        <v>297</v>
      </c>
      <c r="C25" s="92">
        <f t="shared" si="0"/>
        <v>1965330</v>
      </c>
      <c r="D25" s="88">
        <v>22240</v>
      </c>
      <c r="E25" s="88">
        <v>730800</v>
      </c>
      <c r="F25" s="88">
        <v>1004050</v>
      </c>
      <c r="G25" s="88">
        <v>161320</v>
      </c>
      <c r="H25" s="88">
        <v>46920</v>
      </c>
    </row>
    <row r="26" spans="1:8">
      <c r="A26" s="87" t="s">
        <v>155</v>
      </c>
      <c r="B26" s="20" t="s">
        <v>298</v>
      </c>
      <c r="C26" s="92">
        <f t="shared" si="0"/>
        <v>2425110</v>
      </c>
      <c r="D26" s="88">
        <v>27870</v>
      </c>
      <c r="E26" s="88">
        <v>915100</v>
      </c>
      <c r="F26" s="88">
        <v>1258840</v>
      </c>
      <c r="G26" s="88">
        <v>204450</v>
      </c>
      <c r="H26" s="88">
        <v>18850</v>
      </c>
    </row>
    <row r="27" spans="1:8">
      <c r="A27" s="87" t="s">
        <v>157</v>
      </c>
      <c r="B27" s="20" t="s">
        <v>299</v>
      </c>
      <c r="C27" s="92">
        <f t="shared" si="0"/>
        <v>0</v>
      </c>
      <c r="D27" s="88">
        <v>0</v>
      </c>
      <c r="E27" s="88">
        <v>0</v>
      </c>
      <c r="F27" s="88">
        <v>0</v>
      </c>
      <c r="G27" s="88">
        <v>0</v>
      </c>
      <c r="H27" s="88">
        <v>0</v>
      </c>
    </row>
    <row r="28" spans="1:8" s="7" customFormat="1">
      <c r="A28" s="67"/>
      <c r="B28" s="89" t="s">
        <v>300</v>
      </c>
      <c r="C28" s="72">
        <f>SUM(C14:C27)</f>
        <v>44325700</v>
      </c>
      <c r="D28" s="72">
        <f t="shared" ref="D28:H28" si="1">SUM(D14:D27)</f>
        <v>472380</v>
      </c>
      <c r="E28" s="72">
        <f t="shared" si="1"/>
        <v>18363110</v>
      </c>
      <c r="F28" s="72">
        <f t="shared" si="1"/>
        <v>16443330</v>
      </c>
      <c r="G28" s="72">
        <f t="shared" si="1"/>
        <v>2510080</v>
      </c>
      <c r="H28" s="72">
        <f t="shared" si="1"/>
        <v>6536800</v>
      </c>
    </row>
    <row r="30" spans="1:8" s="9" customFormat="1" ht="12">
      <c r="A30" s="71" t="s">
        <v>69</v>
      </c>
      <c r="B30" s="71" t="s">
        <v>301</v>
      </c>
      <c r="C30" s="71" t="s">
        <v>239</v>
      </c>
      <c r="D30" s="71" t="s">
        <v>417</v>
      </c>
      <c r="E30" s="71" t="s">
        <v>418</v>
      </c>
      <c r="F30" s="71" t="s">
        <v>410</v>
      </c>
      <c r="G30" s="71" t="s">
        <v>411</v>
      </c>
      <c r="H30" s="71" t="s">
        <v>419</v>
      </c>
    </row>
    <row r="31" spans="1:8" s="80" customFormat="1">
      <c r="A31" s="93" t="s">
        <v>303</v>
      </c>
      <c r="D31" s="80">
        <v>461</v>
      </c>
      <c r="E31" s="80">
        <v>462</v>
      </c>
      <c r="F31" s="80">
        <v>463</v>
      </c>
      <c r="G31" s="80">
        <v>471</v>
      </c>
      <c r="H31" s="80">
        <v>481</v>
      </c>
    </row>
    <row r="32" spans="1:8" s="83" customFormat="1">
      <c r="A32" s="87" t="s">
        <v>74</v>
      </c>
      <c r="B32" s="20" t="s">
        <v>286</v>
      </c>
      <c r="C32" s="92">
        <f t="shared" ref="C32:C45" si="2">SUM(D32:H32)</f>
        <v>2084400</v>
      </c>
      <c r="D32" s="88">
        <v>449080</v>
      </c>
      <c r="E32" s="88">
        <v>1419010</v>
      </c>
      <c r="F32" s="88">
        <v>148610</v>
      </c>
      <c r="G32" s="88">
        <v>0</v>
      </c>
      <c r="H32" s="88">
        <v>67700</v>
      </c>
    </row>
    <row r="33" spans="1:8">
      <c r="A33" s="87" t="s">
        <v>76</v>
      </c>
      <c r="B33" s="20" t="s">
        <v>287</v>
      </c>
      <c r="C33" s="92">
        <f t="shared" si="2"/>
        <v>233750</v>
      </c>
      <c r="D33" s="88">
        <v>32650</v>
      </c>
      <c r="E33" s="88">
        <v>182240</v>
      </c>
      <c r="F33" s="88">
        <v>16430</v>
      </c>
      <c r="G33" s="88">
        <v>0</v>
      </c>
      <c r="H33" s="88">
        <v>2430</v>
      </c>
    </row>
    <row r="34" spans="1:8" s="20" customFormat="1">
      <c r="A34" s="87" t="s">
        <v>77</v>
      </c>
      <c r="B34" s="20" t="s">
        <v>288</v>
      </c>
      <c r="C34" s="92">
        <f t="shared" si="2"/>
        <v>0</v>
      </c>
      <c r="D34" s="88">
        <v>0</v>
      </c>
      <c r="E34" s="88">
        <v>0</v>
      </c>
      <c r="F34" s="88">
        <v>0</v>
      </c>
      <c r="G34" s="88">
        <v>0</v>
      </c>
      <c r="H34" s="88">
        <v>0</v>
      </c>
    </row>
    <row r="35" spans="1:8" s="20" customFormat="1">
      <c r="A35" s="87" t="s">
        <v>78</v>
      </c>
      <c r="B35" s="20" t="s">
        <v>289</v>
      </c>
      <c r="C35" s="92">
        <f t="shared" si="2"/>
        <v>0</v>
      </c>
      <c r="D35" s="88">
        <v>0</v>
      </c>
      <c r="E35" s="88">
        <v>0</v>
      </c>
      <c r="F35" s="88">
        <v>0</v>
      </c>
      <c r="G35" s="88">
        <v>0</v>
      </c>
      <c r="H35" s="88">
        <v>0</v>
      </c>
    </row>
    <row r="36" spans="1:8">
      <c r="A36" s="87" t="s">
        <v>79</v>
      </c>
      <c r="B36" s="20" t="s">
        <v>290</v>
      </c>
      <c r="C36" s="92">
        <f t="shared" si="2"/>
        <v>2286840</v>
      </c>
      <c r="D36" s="88">
        <v>44770</v>
      </c>
      <c r="E36" s="88">
        <v>1738940</v>
      </c>
      <c r="F36" s="88">
        <v>332240</v>
      </c>
      <c r="G36" s="88">
        <v>0</v>
      </c>
      <c r="H36" s="88">
        <v>170890</v>
      </c>
    </row>
    <row r="37" spans="1:8">
      <c r="A37" s="87" t="s">
        <v>80</v>
      </c>
      <c r="B37" s="20" t="s">
        <v>291</v>
      </c>
      <c r="C37" s="92">
        <f t="shared" si="2"/>
        <v>0</v>
      </c>
      <c r="D37" s="88">
        <v>0</v>
      </c>
      <c r="E37" s="88">
        <v>0</v>
      </c>
      <c r="F37" s="88">
        <v>0</v>
      </c>
      <c r="G37" s="88">
        <v>0</v>
      </c>
      <c r="H37" s="88">
        <v>0</v>
      </c>
    </row>
    <row r="38" spans="1:8">
      <c r="A38" s="87" t="s">
        <v>81</v>
      </c>
      <c r="B38" s="20" t="s">
        <v>292</v>
      </c>
      <c r="C38" s="92">
        <f t="shared" si="2"/>
        <v>457530</v>
      </c>
      <c r="D38" s="88">
        <v>25960</v>
      </c>
      <c r="E38" s="88">
        <v>356040</v>
      </c>
      <c r="F38" s="88">
        <v>49960</v>
      </c>
      <c r="G38" s="88">
        <v>0</v>
      </c>
      <c r="H38" s="88">
        <v>25570</v>
      </c>
    </row>
    <row r="39" spans="1:8">
      <c r="A39" s="87" t="s">
        <v>82</v>
      </c>
      <c r="B39" s="20" t="s">
        <v>293</v>
      </c>
      <c r="C39" s="92">
        <f t="shared" si="2"/>
        <v>166920</v>
      </c>
      <c r="D39" s="88">
        <v>4810</v>
      </c>
      <c r="E39" s="88">
        <v>128710</v>
      </c>
      <c r="F39" s="88">
        <v>25450</v>
      </c>
      <c r="G39" s="88">
        <v>0</v>
      </c>
      <c r="H39" s="88">
        <v>7950</v>
      </c>
    </row>
    <row r="40" spans="1:8" s="7" customFormat="1">
      <c r="A40" s="87" t="s">
        <v>93</v>
      </c>
      <c r="B40" s="20" t="s">
        <v>294</v>
      </c>
      <c r="C40" s="92">
        <f t="shared" si="2"/>
        <v>0</v>
      </c>
      <c r="D40" s="88">
        <v>0</v>
      </c>
      <c r="E40" s="88">
        <v>0</v>
      </c>
      <c r="F40" s="88">
        <v>0</v>
      </c>
      <c r="G40" s="88">
        <v>0</v>
      </c>
      <c r="H40" s="88">
        <v>0</v>
      </c>
    </row>
    <row r="41" spans="1:8" s="10" customFormat="1">
      <c r="A41" s="87" t="s">
        <v>94</v>
      </c>
      <c r="B41" s="20" t="s">
        <v>295</v>
      </c>
      <c r="C41" s="92">
        <f t="shared" si="2"/>
        <v>190530</v>
      </c>
      <c r="D41" s="88">
        <f>2330+800</f>
        <v>3130</v>
      </c>
      <c r="E41" s="88">
        <f>104760+44000</f>
        <v>148760</v>
      </c>
      <c r="F41" s="88">
        <f>17730+7200</f>
        <v>24930</v>
      </c>
      <c r="G41" s="88">
        <v>0</v>
      </c>
      <c r="H41" s="88">
        <f>9710+4000</f>
        <v>13710</v>
      </c>
    </row>
    <row r="42" spans="1:8">
      <c r="A42" s="87" t="s">
        <v>151</v>
      </c>
      <c r="B42" s="20" t="s">
        <v>296</v>
      </c>
      <c r="C42" s="92">
        <f t="shared" si="2"/>
        <v>599310</v>
      </c>
      <c r="D42" s="88">
        <v>71350</v>
      </c>
      <c r="E42" s="88">
        <v>462110</v>
      </c>
      <c r="F42" s="88">
        <v>44240</v>
      </c>
      <c r="G42" s="88">
        <v>0</v>
      </c>
      <c r="H42" s="88">
        <v>21610</v>
      </c>
    </row>
    <row r="43" spans="1:8">
      <c r="A43" s="87" t="s">
        <v>153</v>
      </c>
      <c r="B43" s="20" t="s">
        <v>297</v>
      </c>
      <c r="C43" s="92">
        <f t="shared" si="2"/>
        <v>421670</v>
      </c>
      <c r="D43" s="88">
        <v>68970</v>
      </c>
      <c r="E43" s="88">
        <v>302910</v>
      </c>
      <c r="F43" s="88">
        <v>29370</v>
      </c>
      <c r="G43" s="88">
        <v>0</v>
      </c>
      <c r="H43" s="88">
        <v>20420</v>
      </c>
    </row>
    <row r="44" spans="1:8">
      <c r="A44" s="87" t="s">
        <v>155</v>
      </c>
      <c r="B44" s="20" t="s">
        <v>298</v>
      </c>
      <c r="C44" s="92">
        <f t="shared" si="2"/>
        <v>391260</v>
      </c>
      <c r="D44" s="88">
        <v>62940</v>
      </c>
      <c r="E44" s="88">
        <v>288750</v>
      </c>
      <c r="F44" s="88">
        <v>26520</v>
      </c>
      <c r="G44" s="88">
        <v>0</v>
      </c>
      <c r="H44" s="88">
        <v>13050</v>
      </c>
    </row>
    <row r="45" spans="1:8">
      <c r="A45" s="87" t="s">
        <v>157</v>
      </c>
      <c r="B45" s="20" t="s">
        <v>299</v>
      </c>
      <c r="C45" s="92">
        <f t="shared" si="2"/>
        <v>0</v>
      </c>
      <c r="D45" s="88">
        <v>0</v>
      </c>
      <c r="E45" s="88">
        <v>0</v>
      </c>
      <c r="F45" s="88">
        <v>0</v>
      </c>
      <c r="G45" s="88">
        <v>0</v>
      </c>
      <c r="H45" s="88">
        <v>0</v>
      </c>
    </row>
    <row r="46" spans="1:8" s="7" customFormat="1">
      <c r="A46" s="67"/>
      <c r="B46" s="89" t="s">
        <v>300</v>
      </c>
      <c r="C46" s="72">
        <f t="shared" ref="C46:H46" si="3">SUM(C32:C45)</f>
        <v>6832210</v>
      </c>
      <c r="D46" s="72">
        <f t="shared" si="3"/>
        <v>763660</v>
      </c>
      <c r="E46" s="72">
        <f t="shared" si="3"/>
        <v>5027470</v>
      </c>
      <c r="F46" s="72">
        <f t="shared" si="3"/>
        <v>697750</v>
      </c>
      <c r="G46" s="72">
        <f t="shared" si="3"/>
        <v>0</v>
      </c>
      <c r="H46" s="72">
        <f t="shared" si="3"/>
        <v>343330</v>
      </c>
    </row>
    <row r="47" spans="1:8">
      <c r="H47" s="94"/>
    </row>
    <row r="48" spans="1:8" s="9" customFormat="1" ht="12">
      <c r="A48" s="71" t="s">
        <v>69</v>
      </c>
      <c r="B48" s="71" t="s">
        <v>302</v>
      </c>
      <c r="C48" s="71" t="s">
        <v>239</v>
      </c>
      <c r="D48" s="71" t="s">
        <v>417</v>
      </c>
      <c r="E48" s="71" t="s">
        <v>418</v>
      </c>
      <c r="F48" s="71" t="s">
        <v>410</v>
      </c>
      <c r="G48" s="71" t="s">
        <v>411</v>
      </c>
      <c r="H48" s="71" t="s">
        <v>419</v>
      </c>
    </row>
    <row r="49" spans="1:8" s="80" customFormat="1">
      <c r="A49" s="93" t="s">
        <v>304</v>
      </c>
      <c r="D49" s="80">
        <v>461</v>
      </c>
      <c r="E49" s="80">
        <v>462</v>
      </c>
      <c r="F49" s="80">
        <v>463</v>
      </c>
      <c r="G49" s="80">
        <v>471</v>
      </c>
      <c r="H49" s="80">
        <v>481</v>
      </c>
    </row>
    <row r="50" spans="1:8" s="83" customFormat="1">
      <c r="A50" s="87" t="s">
        <v>74</v>
      </c>
      <c r="B50" s="20" t="s">
        <v>307</v>
      </c>
      <c r="C50" s="92">
        <f t="shared" ref="C50:C64" si="4">SUM(D50:H50)</f>
        <v>0</v>
      </c>
      <c r="D50" s="88">
        <v>0</v>
      </c>
      <c r="E50" s="88">
        <v>0</v>
      </c>
      <c r="F50" s="88">
        <v>0</v>
      </c>
      <c r="G50" s="88">
        <v>0</v>
      </c>
      <c r="H50" s="88">
        <v>0</v>
      </c>
    </row>
    <row r="51" spans="1:8">
      <c r="A51" s="87" t="s">
        <v>76</v>
      </c>
      <c r="B51" s="20" t="s">
        <v>308</v>
      </c>
      <c r="C51" s="92">
        <f t="shared" si="4"/>
        <v>0</v>
      </c>
      <c r="D51" s="88">
        <v>0</v>
      </c>
      <c r="E51" s="88">
        <v>0</v>
      </c>
      <c r="F51" s="88">
        <v>0</v>
      </c>
      <c r="G51" s="88">
        <v>0</v>
      </c>
      <c r="H51" s="88">
        <v>0</v>
      </c>
    </row>
    <row r="52" spans="1:8" s="20" customFormat="1">
      <c r="A52" s="87" t="s">
        <v>77</v>
      </c>
      <c r="B52" s="20" t="s">
        <v>309</v>
      </c>
      <c r="C52" s="92">
        <f t="shared" si="4"/>
        <v>0</v>
      </c>
      <c r="D52" s="88">
        <v>0</v>
      </c>
      <c r="E52" s="88">
        <v>0</v>
      </c>
      <c r="F52" s="88">
        <v>0</v>
      </c>
      <c r="G52" s="88">
        <v>0</v>
      </c>
      <c r="H52" s="88">
        <v>0</v>
      </c>
    </row>
    <row r="53" spans="1:8" s="20" customFormat="1">
      <c r="A53" s="87" t="s">
        <v>78</v>
      </c>
      <c r="B53" s="20" t="s">
        <v>310</v>
      </c>
      <c r="C53" s="92">
        <f t="shared" si="4"/>
        <v>1236410</v>
      </c>
      <c r="D53" s="88">
        <v>0</v>
      </c>
      <c r="E53" s="88">
        <v>0</v>
      </c>
      <c r="F53" s="88">
        <v>1169350</v>
      </c>
      <c r="G53" s="88">
        <v>0</v>
      </c>
      <c r="H53" s="88">
        <v>67060</v>
      </c>
    </row>
    <row r="54" spans="1:8">
      <c r="A54" s="87" t="s">
        <v>79</v>
      </c>
      <c r="B54" s="20" t="s">
        <v>311</v>
      </c>
      <c r="C54" s="92">
        <f t="shared" si="4"/>
        <v>0</v>
      </c>
      <c r="D54" s="88">
        <v>0</v>
      </c>
      <c r="E54" s="88">
        <v>0</v>
      </c>
      <c r="F54" s="88">
        <v>0</v>
      </c>
      <c r="G54" s="88">
        <v>0</v>
      </c>
      <c r="H54" s="88">
        <v>0</v>
      </c>
    </row>
    <row r="55" spans="1:8">
      <c r="A55" s="87" t="s">
        <v>80</v>
      </c>
      <c r="B55" s="20" t="s">
        <v>312</v>
      </c>
      <c r="C55" s="92">
        <f t="shared" si="4"/>
        <v>0</v>
      </c>
      <c r="D55" s="88">
        <v>0</v>
      </c>
      <c r="E55" s="88">
        <v>0</v>
      </c>
      <c r="F55" s="88">
        <v>0</v>
      </c>
      <c r="G55" s="88">
        <v>0</v>
      </c>
      <c r="H55" s="88">
        <v>0</v>
      </c>
    </row>
    <row r="56" spans="1:8">
      <c r="A56" s="87" t="s">
        <v>81</v>
      </c>
      <c r="B56" s="20" t="s">
        <v>313</v>
      </c>
      <c r="C56" s="92">
        <f t="shared" si="4"/>
        <v>0</v>
      </c>
      <c r="D56" s="88">
        <v>0</v>
      </c>
      <c r="E56" s="88">
        <v>0</v>
      </c>
      <c r="F56" s="88">
        <v>0</v>
      </c>
      <c r="G56" s="88">
        <v>0</v>
      </c>
      <c r="H56" s="88">
        <v>0</v>
      </c>
    </row>
    <row r="57" spans="1:8">
      <c r="A57" s="87" t="s">
        <v>82</v>
      </c>
      <c r="B57" s="20" t="s">
        <v>314</v>
      </c>
      <c r="C57" s="92">
        <f t="shared" si="4"/>
        <v>0</v>
      </c>
      <c r="D57" s="88">
        <v>0</v>
      </c>
      <c r="E57" s="88">
        <v>0</v>
      </c>
      <c r="F57" s="88">
        <v>0</v>
      </c>
      <c r="G57" s="88">
        <v>0</v>
      </c>
      <c r="H57" s="88">
        <v>0</v>
      </c>
    </row>
    <row r="58" spans="1:8">
      <c r="A58" s="87" t="s">
        <v>93</v>
      </c>
      <c r="B58" s="20" t="s">
        <v>315</v>
      </c>
      <c r="C58" s="92">
        <f t="shared" si="4"/>
        <v>417700</v>
      </c>
      <c r="D58" s="88">
        <v>32250</v>
      </c>
      <c r="E58" s="88">
        <v>0</v>
      </c>
      <c r="F58" s="88">
        <v>349540</v>
      </c>
      <c r="G58" s="88">
        <v>0</v>
      </c>
      <c r="H58" s="88">
        <v>35910</v>
      </c>
    </row>
    <row r="59" spans="1:8">
      <c r="A59" s="87" t="s">
        <v>94</v>
      </c>
      <c r="B59" s="20" t="s">
        <v>316</v>
      </c>
      <c r="C59" s="92">
        <f t="shared" si="4"/>
        <v>240</v>
      </c>
      <c r="D59" s="88">
        <v>0</v>
      </c>
      <c r="E59" s="88">
        <v>0</v>
      </c>
      <c r="F59" s="88">
        <v>0</v>
      </c>
      <c r="G59" s="88">
        <v>240</v>
      </c>
      <c r="H59" s="88">
        <v>0</v>
      </c>
    </row>
    <row r="60" spans="1:8">
      <c r="A60" s="87" t="s">
        <v>151</v>
      </c>
      <c r="B60" s="20" t="s">
        <v>317</v>
      </c>
      <c r="C60" s="92">
        <f t="shared" si="4"/>
        <v>268600</v>
      </c>
      <c r="D60" s="88">
        <v>0</v>
      </c>
      <c r="E60" s="88">
        <v>0</v>
      </c>
      <c r="F60" s="88">
        <v>252670</v>
      </c>
      <c r="G60" s="88">
        <v>0</v>
      </c>
      <c r="H60" s="88">
        <v>15930</v>
      </c>
    </row>
    <row r="61" spans="1:8">
      <c r="A61" s="87" t="s">
        <v>153</v>
      </c>
      <c r="B61" s="20" t="s">
        <v>318</v>
      </c>
      <c r="C61" s="92">
        <f t="shared" si="4"/>
        <v>199280</v>
      </c>
      <c r="D61" s="88">
        <v>56750</v>
      </c>
      <c r="E61" s="88">
        <v>0</v>
      </c>
      <c r="F61" s="88">
        <v>116790</v>
      </c>
      <c r="G61" s="88">
        <v>0</v>
      </c>
      <c r="H61" s="88">
        <v>25740</v>
      </c>
    </row>
    <row r="62" spans="1:8">
      <c r="A62" s="87" t="s">
        <v>155</v>
      </c>
      <c r="B62" s="20" t="s">
        <v>319</v>
      </c>
      <c r="C62" s="92">
        <f t="shared" si="4"/>
        <v>1299250</v>
      </c>
      <c r="D62" s="88">
        <v>0</v>
      </c>
      <c r="E62" s="88">
        <v>0</v>
      </c>
      <c r="F62" s="88">
        <v>0</v>
      </c>
      <c r="G62" s="88">
        <v>0</v>
      </c>
      <c r="H62" s="88">
        <v>1299250</v>
      </c>
    </row>
    <row r="63" spans="1:8" s="7" customFormat="1">
      <c r="A63" s="87" t="s">
        <v>157</v>
      </c>
      <c r="B63" s="20" t="s">
        <v>320</v>
      </c>
      <c r="C63" s="92">
        <f t="shared" si="4"/>
        <v>0</v>
      </c>
      <c r="D63" s="88">
        <v>0</v>
      </c>
      <c r="E63" s="88">
        <v>0</v>
      </c>
      <c r="F63" s="88">
        <v>0</v>
      </c>
      <c r="G63" s="88">
        <v>0</v>
      </c>
      <c r="H63" s="88">
        <v>0</v>
      </c>
    </row>
    <row r="64" spans="1:8" s="10" customFormat="1">
      <c r="A64" s="87" t="s">
        <v>159</v>
      </c>
      <c r="B64" s="20" t="s">
        <v>321</v>
      </c>
      <c r="C64" s="92">
        <f t="shared" si="4"/>
        <v>138820</v>
      </c>
      <c r="D64" s="88">
        <v>71960</v>
      </c>
      <c r="E64" s="88">
        <v>10610</v>
      </c>
      <c r="F64" s="88">
        <v>54160</v>
      </c>
      <c r="G64" s="88">
        <v>2090</v>
      </c>
      <c r="H64" s="88">
        <v>0</v>
      </c>
    </row>
    <row r="65" spans="1:8">
      <c r="A65" s="87"/>
      <c r="B65" s="20"/>
      <c r="C65" s="92"/>
      <c r="D65" s="88"/>
      <c r="E65" s="88"/>
      <c r="F65" s="88"/>
      <c r="G65" s="88"/>
      <c r="H65" s="88"/>
    </row>
    <row r="66" spans="1:8" s="7" customFormat="1">
      <c r="A66" s="67"/>
      <c r="B66" s="89" t="s">
        <v>300</v>
      </c>
      <c r="C66" s="72">
        <f t="shared" ref="C66:H66" si="5">SUM(C50:C65)</f>
        <v>3560300</v>
      </c>
      <c r="D66" s="72">
        <f t="shared" si="5"/>
        <v>160960</v>
      </c>
      <c r="E66" s="72">
        <f t="shared" si="5"/>
        <v>10610</v>
      </c>
      <c r="F66" s="72">
        <f t="shared" si="5"/>
        <v>1942510</v>
      </c>
      <c r="G66" s="72">
        <f t="shared" si="5"/>
        <v>2330</v>
      </c>
      <c r="H66" s="72">
        <f t="shared" si="5"/>
        <v>1443890</v>
      </c>
    </row>
    <row r="67" spans="1:8">
      <c r="D67" s="94"/>
      <c r="E67" s="94"/>
      <c r="F67" s="94"/>
      <c r="G67" s="94"/>
      <c r="H67" s="94"/>
    </row>
    <row r="68" spans="1:8" s="9" customFormat="1" ht="12">
      <c r="A68" s="71" t="s">
        <v>69</v>
      </c>
      <c r="B68" s="71" t="s">
        <v>324</v>
      </c>
      <c r="C68" s="71" t="s">
        <v>239</v>
      </c>
      <c r="D68" s="71" t="s">
        <v>417</v>
      </c>
      <c r="E68" s="71" t="s">
        <v>418</v>
      </c>
      <c r="F68" s="71" t="s">
        <v>410</v>
      </c>
      <c r="G68" s="71" t="s">
        <v>411</v>
      </c>
      <c r="H68" s="71" t="s">
        <v>419</v>
      </c>
    </row>
    <row r="69" spans="1:8" s="80" customFormat="1">
      <c r="A69" s="93" t="s">
        <v>323</v>
      </c>
      <c r="D69" s="80">
        <v>461</v>
      </c>
      <c r="E69" s="80">
        <v>462</v>
      </c>
      <c r="F69" s="80">
        <v>463</v>
      </c>
      <c r="G69" s="80">
        <v>471</v>
      </c>
      <c r="H69" s="80">
        <v>481</v>
      </c>
    </row>
    <row r="70" spans="1:8" s="83" customFormat="1">
      <c r="A70" s="87" t="s">
        <v>74</v>
      </c>
      <c r="B70" s="20" t="s">
        <v>325</v>
      </c>
      <c r="C70" s="92">
        <f t="shared" ref="C70:C91" si="6">SUM(D70:H70)</f>
        <v>0</v>
      </c>
      <c r="D70" s="88">
        <v>0</v>
      </c>
      <c r="E70" s="88">
        <v>0</v>
      </c>
      <c r="F70" s="88">
        <v>0</v>
      </c>
      <c r="G70" s="88">
        <v>0</v>
      </c>
      <c r="H70" s="88">
        <v>0</v>
      </c>
    </row>
    <row r="71" spans="1:8">
      <c r="A71" s="87" t="s">
        <v>76</v>
      </c>
      <c r="B71" s="20" t="s">
        <v>326</v>
      </c>
      <c r="C71" s="92">
        <f t="shared" si="6"/>
        <v>0</v>
      </c>
      <c r="D71" s="88">
        <v>0</v>
      </c>
      <c r="E71" s="88">
        <v>0</v>
      </c>
      <c r="F71" s="88">
        <v>0</v>
      </c>
      <c r="G71" s="88">
        <v>0</v>
      </c>
      <c r="H71" s="88">
        <v>0</v>
      </c>
    </row>
    <row r="72" spans="1:8" s="20" customFormat="1">
      <c r="A72" s="87" t="s">
        <v>77</v>
      </c>
      <c r="B72" s="20" t="s">
        <v>327</v>
      </c>
      <c r="C72" s="92">
        <f t="shared" si="6"/>
        <v>0</v>
      </c>
      <c r="D72" s="88">
        <v>0</v>
      </c>
      <c r="E72" s="88">
        <v>0</v>
      </c>
      <c r="F72" s="88">
        <v>0</v>
      </c>
      <c r="G72" s="88">
        <v>0</v>
      </c>
      <c r="H72" s="88">
        <v>0</v>
      </c>
    </row>
    <row r="73" spans="1:8" s="20" customFormat="1">
      <c r="A73" s="87" t="s">
        <v>78</v>
      </c>
      <c r="B73" s="20" t="s">
        <v>328</v>
      </c>
      <c r="C73" s="92">
        <f t="shared" si="6"/>
        <v>0</v>
      </c>
      <c r="D73" s="88">
        <v>0</v>
      </c>
      <c r="E73" s="88">
        <v>0</v>
      </c>
      <c r="F73" s="88">
        <v>0</v>
      </c>
      <c r="G73" s="88">
        <v>0</v>
      </c>
      <c r="H73" s="88">
        <v>0</v>
      </c>
    </row>
    <row r="74" spans="1:8">
      <c r="A74" s="87" t="s">
        <v>79</v>
      </c>
      <c r="B74" s="20" t="s">
        <v>329</v>
      </c>
      <c r="C74" s="92">
        <f t="shared" si="6"/>
        <v>207260</v>
      </c>
      <c r="D74" s="88">
        <v>0</v>
      </c>
      <c r="E74" s="88">
        <v>80900</v>
      </c>
      <c r="F74" s="88">
        <v>41890</v>
      </c>
      <c r="G74" s="88">
        <v>41980</v>
      </c>
      <c r="H74" s="88">
        <v>42490</v>
      </c>
    </row>
    <row r="75" spans="1:8">
      <c r="A75" s="87" t="s">
        <v>80</v>
      </c>
      <c r="B75" s="20" t="s">
        <v>330</v>
      </c>
      <c r="C75" s="92">
        <f t="shared" si="6"/>
        <v>0</v>
      </c>
      <c r="D75" s="88">
        <v>0</v>
      </c>
      <c r="E75" s="88">
        <v>0</v>
      </c>
      <c r="F75" s="88">
        <v>0</v>
      </c>
      <c r="G75" s="88">
        <v>0</v>
      </c>
      <c r="H75" s="88">
        <v>0</v>
      </c>
    </row>
    <row r="76" spans="1:8">
      <c r="A76" s="87" t="s">
        <v>81</v>
      </c>
      <c r="B76" s="20" t="s">
        <v>331</v>
      </c>
      <c r="C76" s="92">
        <f t="shared" si="6"/>
        <v>33371920</v>
      </c>
      <c r="D76" s="88">
        <v>0</v>
      </c>
      <c r="E76" s="88">
        <v>12219540</v>
      </c>
      <c r="F76" s="88">
        <v>15381630</v>
      </c>
      <c r="G76" s="88">
        <v>1597290</v>
      </c>
      <c r="H76" s="88">
        <v>4173460</v>
      </c>
    </row>
    <row r="77" spans="1:8">
      <c r="A77" s="87" t="s">
        <v>82</v>
      </c>
      <c r="B77" s="20" t="s">
        <v>332</v>
      </c>
      <c r="C77" s="92">
        <f t="shared" si="6"/>
        <v>0</v>
      </c>
      <c r="D77" s="88">
        <v>0</v>
      </c>
      <c r="E77" s="88">
        <v>0</v>
      </c>
      <c r="F77" s="88">
        <v>0</v>
      </c>
      <c r="G77" s="88">
        <v>0</v>
      </c>
      <c r="H77" s="88">
        <v>0</v>
      </c>
    </row>
    <row r="78" spans="1:8">
      <c r="A78" s="87" t="s">
        <v>93</v>
      </c>
      <c r="B78" s="20" t="s">
        <v>333</v>
      </c>
      <c r="C78" s="92">
        <f t="shared" si="6"/>
        <v>19400</v>
      </c>
      <c r="D78" s="88">
        <v>11080</v>
      </c>
      <c r="E78" s="88">
        <v>0</v>
      </c>
      <c r="F78" s="88">
        <v>0</v>
      </c>
      <c r="G78" s="88">
        <v>8320</v>
      </c>
      <c r="H78" s="88">
        <v>0</v>
      </c>
    </row>
    <row r="79" spans="1:8">
      <c r="A79" s="87" t="s">
        <v>94</v>
      </c>
      <c r="B79" s="20" t="s">
        <v>334</v>
      </c>
      <c r="C79" s="92">
        <f t="shared" si="6"/>
        <v>2900</v>
      </c>
      <c r="D79" s="88">
        <v>0</v>
      </c>
      <c r="E79" s="88">
        <v>0</v>
      </c>
      <c r="F79" s="88">
        <v>0</v>
      </c>
      <c r="G79" s="88">
        <v>0</v>
      </c>
      <c r="H79" s="88">
        <v>2900</v>
      </c>
    </row>
    <row r="80" spans="1:8">
      <c r="A80" s="87" t="s">
        <v>151</v>
      </c>
      <c r="B80" s="20" t="s">
        <v>335</v>
      </c>
      <c r="C80" s="92">
        <f t="shared" si="6"/>
        <v>0</v>
      </c>
      <c r="D80" s="88">
        <v>0</v>
      </c>
      <c r="E80" s="88">
        <v>0</v>
      </c>
      <c r="F80" s="88">
        <v>0</v>
      </c>
      <c r="G80" s="88">
        <v>0</v>
      </c>
      <c r="H80" s="88">
        <v>0</v>
      </c>
    </row>
    <row r="81" spans="1:8">
      <c r="A81" s="87" t="s">
        <v>153</v>
      </c>
      <c r="B81" s="20" t="s">
        <v>336</v>
      </c>
      <c r="C81" s="92">
        <f t="shared" si="6"/>
        <v>0</v>
      </c>
      <c r="D81" s="88">
        <v>0</v>
      </c>
      <c r="E81" s="88">
        <v>0</v>
      </c>
      <c r="F81" s="88">
        <v>0</v>
      </c>
      <c r="G81" s="88">
        <v>0</v>
      </c>
      <c r="H81" s="88">
        <v>0</v>
      </c>
    </row>
    <row r="82" spans="1:8">
      <c r="A82" s="87" t="s">
        <v>155</v>
      </c>
      <c r="B82" s="20" t="s">
        <v>337</v>
      </c>
      <c r="C82" s="92">
        <f t="shared" si="6"/>
        <v>82630</v>
      </c>
      <c r="D82" s="88">
        <v>0</v>
      </c>
      <c r="E82" s="88">
        <v>0</v>
      </c>
      <c r="F82" s="88">
        <v>0</v>
      </c>
      <c r="G82" s="88">
        <v>0</v>
      </c>
      <c r="H82" s="88">
        <v>82630</v>
      </c>
    </row>
    <row r="83" spans="1:8" s="7" customFormat="1">
      <c r="A83" s="87" t="s">
        <v>157</v>
      </c>
      <c r="B83" s="20" t="s">
        <v>338</v>
      </c>
      <c r="C83" s="92">
        <f t="shared" si="6"/>
        <v>165760</v>
      </c>
      <c r="D83" s="88">
        <v>13060</v>
      </c>
      <c r="E83" s="88">
        <v>0</v>
      </c>
      <c r="F83" s="88">
        <v>115930</v>
      </c>
      <c r="G83" s="88">
        <v>0</v>
      </c>
      <c r="H83" s="88">
        <v>36770</v>
      </c>
    </row>
    <row r="84" spans="1:8" s="10" customFormat="1">
      <c r="A84" s="87" t="s">
        <v>159</v>
      </c>
      <c r="B84" s="20" t="s">
        <v>339</v>
      </c>
      <c r="C84" s="92">
        <f t="shared" si="6"/>
        <v>18360</v>
      </c>
      <c r="D84" s="88">
        <v>0</v>
      </c>
      <c r="E84" s="88">
        <v>0</v>
      </c>
      <c r="F84" s="88">
        <v>0</v>
      </c>
      <c r="G84" s="88">
        <v>0</v>
      </c>
      <c r="H84" s="88">
        <v>18360</v>
      </c>
    </row>
    <row r="85" spans="1:8" s="10" customFormat="1">
      <c r="A85" s="87" t="s">
        <v>305</v>
      </c>
      <c r="B85" s="20" t="s">
        <v>340</v>
      </c>
      <c r="C85" s="92">
        <f t="shared" si="6"/>
        <v>263340</v>
      </c>
      <c r="D85" s="88">
        <v>0</v>
      </c>
      <c r="E85" s="88">
        <v>0</v>
      </c>
      <c r="F85" s="88">
        <v>0</v>
      </c>
      <c r="G85" s="88">
        <v>0</v>
      </c>
      <c r="H85" s="88">
        <v>263340</v>
      </c>
    </row>
    <row r="86" spans="1:8" s="10" customFormat="1">
      <c r="A86" s="87" t="s">
        <v>129</v>
      </c>
      <c r="B86" s="20" t="s">
        <v>341</v>
      </c>
      <c r="C86" s="92">
        <f t="shared" si="6"/>
        <v>95460</v>
      </c>
      <c r="D86" s="88">
        <v>8740</v>
      </c>
      <c r="E86" s="88">
        <v>0</v>
      </c>
      <c r="F86" s="88">
        <v>0</v>
      </c>
      <c r="G86" s="88">
        <v>3080</v>
      </c>
      <c r="H86" s="88">
        <v>83640</v>
      </c>
    </row>
    <row r="87" spans="1:8" s="10" customFormat="1">
      <c r="A87" s="87" t="s">
        <v>306</v>
      </c>
      <c r="B87" s="20" t="s">
        <v>342</v>
      </c>
      <c r="C87" s="92">
        <f t="shared" si="6"/>
        <v>6866210</v>
      </c>
      <c r="D87" s="88">
        <v>225110</v>
      </c>
      <c r="E87" s="88">
        <v>0</v>
      </c>
      <c r="F87" s="88">
        <v>0</v>
      </c>
      <c r="G87" s="88">
        <v>0</v>
      </c>
      <c r="H87" s="88">
        <v>6641100</v>
      </c>
    </row>
    <row r="88" spans="1:8" s="10" customFormat="1">
      <c r="A88" s="87" t="s">
        <v>216</v>
      </c>
      <c r="B88" s="20" t="s">
        <v>343</v>
      </c>
      <c r="C88" s="92">
        <f t="shared" si="6"/>
        <v>0</v>
      </c>
      <c r="D88" s="88">
        <v>0</v>
      </c>
      <c r="E88" s="88">
        <v>0</v>
      </c>
      <c r="F88" s="88">
        <v>0</v>
      </c>
      <c r="G88" s="88">
        <v>0</v>
      </c>
      <c r="H88" s="88">
        <v>0</v>
      </c>
    </row>
    <row r="89" spans="1:8" s="10" customFormat="1">
      <c r="A89" s="87" t="s">
        <v>347</v>
      </c>
      <c r="B89" s="20" t="s">
        <v>344</v>
      </c>
      <c r="C89" s="92">
        <f t="shared" si="6"/>
        <v>0</v>
      </c>
      <c r="D89" s="88">
        <v>0</v>
      </c>
      <c r="E89" s="88">
        <v>0</v>
      </c>
      <c r="F89" s="88">
        <v>0</v>
      </c>
      <c r="G89" s="88">
        <v>0</v>
      </c>
      <c r="H89" s="88">
        <v>0</v>
      </c>
    </row>
    <row r="90" spans="1:8" s="10" customFormat="1">
      <c r="A90" s="87" t="s">
        <v>218</v>
      </c>
      <c r="B90" s="20" t="s">
        <v>345</v>
      </c>
      <c r="C90" s="92">
        <f t="shared" si="6"/>
        <v>1221200</v>
      </c>
      <c r="D90" s="88">
        <v>633610</v>
      </c>
      <c r="E90" s="88">
        <v>0</v>
      </c>
      <c r="F90" s="88">
        <v>74080</v>
      </c>
      <c r="G90" s="88">
        <v>37960</v>
      </c>
      <c r="H90" s="88">
        <v>475550</v>
      </c>
    </row>
    <row r="91" spans="1:8">
      <c r="A91" s="87" t="s">
        <v>348</v>
      </c>
      <c r="B91" s="20" t="s">
        <v>346</v>
      </c>
      <c r="C91" s="92">
        <f t="shared" si="6"/>
        <v>7300960</v>
      </c>
      <c r="D91" s="88">
        <v>6242300</v>
      </c>
      <c r="E91" s="88">
        <v>0</v>
      </c>
      <c r="F91" s="88">
        <v>0</v>
      </c>
      <c r="G91" s="88">
        <v>811220</v>
      </c>
      <c r="H91" s="88">
        <v>247440</v>
      </c>
    </row>
    <row r="92" spans="1:8" s="7" customFormat="1">
      <c r="A92" s="67"/>
      <c r="B92" s="89" t="s">
        <v>300</v>
      </c>
      <c r="C92" s="72">
        <f t="shared" ref="C92:H92" si="7">SUM(C70:C91)</f>
        <v>49615400</v>
      </c>
      <c r="D92" s="72">
        <f t="shared" si="7"/>
        <v>7133900</v>
      </c>
      <c r="E92" s="72">
        <f t="shared" si="7"/>
        <v>12300440</v>
      </c>
      <c r="F92" s="72">
        <f t="shared" si="7"/>
        <v>15613530</v>
      </c>
      <c r="G92" s="72">
        <f t="shared" si="7"/>
        <v>2499850</v>
      </c>
      <c r="H92" s="72">
        <f t="shared" si="7"/>
        <v>12067680</v>
      </c>
    </row>
    <row r="94" spans="1:8" s="9" customFormat="1" ht="12">
      <c r="A94" s="71" t="s">
        <v>69</v>
      </c>
      <c r="B94" s="71" t="s">
        <v>349</v>
      </c>
      <c r="C94" s="71" t="s">
        <v>239</v>
      </c>
      <c r="D94" s="71" t="s">
        <v>417</v>
      </c>
      <c r="E94" s="71" t="s">
        <v>418</v>
      </c>
      <c r="F94" s="71" t="s">
        <v>410</v>
      </c>
      <c r="G94" s="71" t="s">
        <v>411</v>
      </c>
      <c r="H94" s="71" t="s">
        <v>419</v>
      </c>
    </row>
    <row r="95" spans="1:8" s="80" customFormat="1">
      <c r="A95" s="93" t="s">
        <v>350</v>
      </c>
      <c r="D95" s="80">
        <v>461</v>
      </c>
      <c r="E95" s="80">
        <v>462</v>
      </c>
      <c r="F95" s="80">
        <v>463</v>
      </c>
      <c r="G95" s="80">
        <v>471</v>
      </c>
      <c r="H95" s="80">
        <v>481</v>
      </c>
    </row>
    <row r="96" spans="1:8" s="83" customFormat="1">
      <c r="A96" s="87" t="s">
        <v>74</v>
      </c>
      <c r="B96" s="20" t="s">
        <v>351</v>
      </c>
      <c r="C96" s="92">
        <f t="shared" ref="C96:C106" si="8">SUM(D96:H96)</f>
        <v>562350</v>
      </c>
      <c r="D96" s="88">
        <v>0</v>
      </c>
      <c r="E96" s="88">
        <v>0</v>
      </c>
      <c r="F96" s="88">
        <v>562350</v>
      </c>
      <c r="G96" s="88">
        <v>0</v>
      </c>
      <c r="H96" s="88">
        <v>0</v>
      </c>
    </row>
    <row r="97" spans="1:8">
      <c r="A97" s="87" t="s">
        <v>76</v>
      </c>
      <c r="B97" s="20" t="s">
        <v>352</v>
      </c>
      <c r="C97" s="92">
        <f t="shared" si="8"/>
        <v>117950</v>
      </c>
      <c r="D97" s="88">
        <v>0</v>
      </c>
      <c r="E97" s="88">
        <v>0</v>
      </c>
      <c r="F97" s="88">
        <v>42180</v>
      </c>
      <c r="G97" s="88">
        <v>0</v>
      </c>
      <c r="H97" s="88">
        <v>75770</v>
      </c>
    </row>
    <row r="98" spans="1:8" s="20" customFormat="1">
      <c r="A98" s="87" t="s">
        <v>77</v>
      </c>
      <c r="B98" s="20" t="s">
        <v>353</v>
      </c>
      <c r="C98" s="92">
        <f t="shared" si="8"/>
        <v>436400</v>
      </c>
      <c r="D98" s="88">
        <v>436400</v>
      </c>
      <c r="E98" s="88">
        <v>0</v>
      </c>
      <c r="F98" s="88">
        <v>0</v>
      </c>
      <c r="G98" s="88">
        <v>0</v>
      </c>
      <c r="H98" s="88">
        <v>0</v>
      </c>
    </row>
    <row r="99" spans="1:8" s="20" customFormat="1">
      <c r="A99" s="87" t="s">
        <v>78</v>
      </c>
      <c r="B99" s="20" t="s">
        <v>354</v>
      </c>
      <c r="C99" s="92">
        <f t="shared" si="8"/>
        <v>0</v>
      </c>
      <c r="D99" s="88">
        <v>0</v>
      </c>
      <c r="E99" s="88">
        <v>0</v>
      </c>
      <c r="F99" s="88">
        <v>0</v>
      </c>
      <c r="G99" s="88">
        <v>0</v>
      </c>
      <c r="H99" s="88">
        <v>0</v>
      </c>
    </row>
    <row r="100" spans="1:8">
      <c r="A100" s="87" t="s">
        <v>79</v>
      </c>
      <c r="B100" s="20" t="s">
        <v>355</v>
      </c>
      <c r="C100" s="92">
        <f t="shared" si="8"/>
        <v>60110</v>
      </c>
      <c r="D100" s="88">
        <v>0</v>
      </c>
      <c r="E100" s="88">
        <v>0</v>
      </c>
      <c r="F100" s="88">
        <v>0</v>
      </c>
      <c r="G100" s="88">
        <v>0</v>
      </c>
      <c r="H100" s="88">
        <v>60110</v>
      </c>
    </row>
    <row r="101" spans="1:8">
      <c r="A101" s="87" t="s">
        <v>80</v>
      </c>
      <c r="B101" s="20" t="s">
        <v>356</v>
      </c>
      <c r="C101" s="92">
        <f t="shared" si="8"/>
        <v>968960</v>
      </c>
      <c r="D101" s="88">
        <v>0</v>
      </c>
      <c r="E101" s="88">
        <v>0</v>
      </c>
      <c r="F101" s="88">
        <v>0</v>
      </c>
      <c r="G101" s="88">
        <v>0</v>
      </c>
      <c r="H101" s="88">
        <v>968960</v>
      </c>
    </row>
    <row r="102" spans="1:8">
      <c r="A102" s="87" t="s">
        <v>81</v>
      </c>
      <c r="B102" s="20" t="s">
        <v>357</v>
      </c>
      <c r="C102" s="92">
        <f t="shared" si="8"/>
        <v>0</v>
      </c>
      <c r="D102" s="88">
        <v>0</v>
      </c>
      <c r="E102" s="88">
        <v>0</v>
      </c>
      <c r="F102" s="88">
        <v>0</v>
      </c>
      <c r="G102" s="88">
        <v>0</v>
      </c>
      <c r="H102" s="88">
        <v>0</v>
      </c>
    </row>
    <row r="103" spans="1:8">
      <c r="A103" s="87" t="s">
        <v>82</v>
      </c>
      <c r="B103" s="20" t="s">
        <v>358</v>
      </c>
      <c r="C103" s="92">
        <f t="shared" si="8"/>
        <v>95380</v>
      </c>
      <c r="D103" s="88">
        <v>0</v>
      </c>
      <c r="E103" s="88">
        <v>0</v>
      </c>
      <c r="F103" s="88">
        <v>0</v>
      </c>
      <c r="G103" s="88">
        <v>0</v>
      </c>
      <c r="H103" s="88">
        <v>95380</v>
      </c>
    </row>
    <row r="104" spans="1:8">
      <c r="A104" s="87" t="s">
        <v>93</v>
      </c>
      <c r="B104" s="20" t="s">
        <v>359</v>
      </c>
      <c r="C104" s="92">
        <f t="shared" si="8"/>
        <v>0</v>
      </c>
      <c r="D104" s="88">
        <v>0</v>
      </c>
      <c r="E104" s="88">
        <v>0</v>
      </c>
      <c r="F104" s="88">
        <v>0</v>
      </c>
      <c r="G104" s="88">
        <v>0</v>
      </c>
      <c r="H104" s="88">
        <v>0</v>
      </c>
    </row>
    <row r="105" spans="1:8">
      <c r="A105" s="87" t="s">
        <v>94</v>
      </c>
      <c r="B105" s="20" t="s">
        <v>360</v>
      </c>
      <c r="C105" s="92">
        <f t="shared" si="8"/>
        <v>10650</v>
      </c>
      <c r="D105" s="88">
        <v>0</v>
      </c>
      <c r="E105" s="88">
        <v>10650</v>
      </c>
      <c r="F105" s="88">
        <v>0</v>
      </c>
      <c r="G105" s="88">
        <v>0</v>
      </c>
      <c r="H105" s="88">
        <v>0</v>
      </c>
    </row>
    <row r="106" spans="1:8">
      <c r="A106" s="87" t="s">
        <v>362</v>
      </c>
      <c r="B106" s="20" t="s">
        <v>361</v>
      </c>
      <c r="C106" s="92">
        <f t="shared" si="8"/>
        <v>230580</v>
      </c>
      <c r="D106" s="88">
        <v>0</v>
      </c>
      <c r="E106" s="88">
        <v>0</v>
      </c>
      <c r="F106" s="88">
        <v>165830</v>
      </c>
      <c r="G106" s="88">
        <v>12500</v>
      </c>
      <c r="H106" s="88">
        <v>52250</v>
      </c>
    </row>
    <row r="107" spans="1:8" s="7" customFormat="1">
      <c r="A107" s="67"/>
      <c r="B107" s="89" t="s">
        <v>300</v>
      </c>
      <c r="C107" s="72">
        <f t="shared" ref="C107:H107" si="9">SUM(C96:C106)</f>
        <v>2482380</v>
      </c>
      <c r="D107" s="72">
        <f t="shared" si="9"/>
        <v>436400</v>
      </c>
      <c r="E107" s="72">
        <f t="shared" si="9"/>
        <v>10650</v>
      </c>
      <c r="F107" s="72">
        <f t="shared" si="9"/>
        <v>770360</v>
      </c>
      <c r="G107" s="72">
        <f t="shared" si="9"/>
        <v>12500</v>
      </c>
      <c r="H107" s="72">
        <f t="shared" si="9"/>
        <v>1252470</v>
      </c>
    </row>
    <row r="109" spans="1:8" s="9" customFormat="1" ht="12">
      <c r="A109" s="71" t="s">
        <v>69</v>
      </c>
      <c r="B109" s="71" t="s">
        <v>375</v>
      </c>
      <c r="C109" s="71" t="s">
        <v>239</v>
      </c>
      <c r="D109" s="71" t="s">
        <v>417</v>
      </c>
      <c r="E109" s="71" t="s">
        <v>418</v>
      </c>
      <c r="F109" s="71" t="s">
        <v>410</v>
      </c>
      <c r="G109" s="71" t="s">
        <v>411</v>
      </c>
      <c r="H109" s="71" t="s">
        <v>419</v>
      </c>
    </row>
    <row r="110" spans="1:8" s="80" customFormat="1">
      <c r="A110" s="9"/>
      <c r="D110" s="80">
        <v>461</v>
      </c>
      <c r="E110" s="80">
        <v>462</v>
      </c>
      <c r="F110" s="80">
        <v>463</v>
      </c>
      <c r="G110" s="80">
        <v>471</v>
      </c>
      <c r="H110" s="80">
        <v>481</v>
      </c>
    </row>
    <row r="111" spans="1:8" s="10" customFormat="1">
      <c r="A111" s="90" t="s">
        <v>366</v>
      </c>
      <c r="B111" s="91" t="s">
        <v>364</v>
      </c>
      <c r="C111" s="92">
        <f t="shared" ref="C111:C123" si="10">SUM(D111:H111)</f>
        <v>0</v>
      </c>
      <c r="D111" s="92">
        <f>+D112</f>
        <v>0</v>
      </c>
      <c r="E111" s="92">
        <f>+E112</f>
        <v>0</v>
      </c>
      <c r="F111" s="92">
        <f>+F112</f>
        <v>0</v>
      </c>
      <c r="G111" s="92">
        <f>+G112</f>
        <v>0</v>
      </c>
      <c r="H111" s="92">
        <f>+H112</f>
        <v>0</v>
      </c>
    </row>
    <row r="112" spans="1:8">
      <c r="A112" s="87" t="s">
        <v>363</v>
      </c>
      <c r="B112" s="20" t="s">
        <v>365</v>
      </c>
      <c r="C112" s="92">
        <f t="shared" si="10"/>
        <v>0</v>
      </c>
      <c r="D112" s="88">
        <v>0</v>
      </c>
      <c r="E112" s="88">
        <v>0</v>
      </c>
      <c r="F112" s="88">
        <v>0</v>
      </c>
      <c r="G112" s="88">
        <v>0</v>
      </c>
      <c r="H112" s="88">
        <v>0</v>
      </c>
    </row>
    <row r="113" spans="1:13" s="10" customFormat="1">
      <c r="A113" s="90" t="s">
        <v>367</v>
      </c>
      <c r="B113" s="91" t="s">
        <v>369</v>
      </c>
      <c r="C113" s="92">
        <f t="shared" si="10"/>
        <v>1684670</v>
      </c>
      <c r="D113" s="92">
        <f>+D114</f>
        <v>0</v>
      </c>
      <c r="E113" s="92">
        <f>+E114</f>
        <v>0</v>
      </c>
      <c r="F113" s="92">
        <f>+F114</f>
        <v>0</v>
      </c>
      <c r="G113" s="92">
        <f>+G114</f>
        <v>1684670</v>
      </c>
      <c r="H113" s="92">
        <f>+H114</f>
        <v>0</v>
      </c>
    </row>
    <row r="114" spans="1:13">
      <c r="A114" s="87" t="s">
        <v>368</v>
      </c>
      <c r="B114" s="20" t="s">
        <v>370</v>
      </c>
      <c r="C114" s="84">
        <f t="shared" si="10"/>
        <v>1684670</v>
      </c>
      <c r="D114" s="88">
        <v>0</v>
      </c>
      <c r="E114" s="88">
        <v>0</v>
      </c>
      <c r="F114" s="88">
        <v>0</v>
      </c>
      <c r="G114" s="88">
        <v>1684670</v>
      </c>
      <c r="H114" s="88">
        <v>0</v>
      </c>
    </row>
    <row r="115" spans="1:13" s="10" customFormat="1">
      <c r="A115" s="90" t="s">
        <v>386</v>
      </c>
      <c r="B115" s="91" t="s">
        <v>387</v>
      </c>
      <c r="C115" s="92">
        <f t="shared" si="10"/>
        <v>0</v>
      </c>
      <c r="D115" s="92">
        <f>+D116</f>
        <v>0</v>
      </c>
      <c r="E115" s="92">
        <f>+E116</f>
        <v>0</v>
      </c>
      <c r="F115" s="92">
        <f>+F116</f>
        <v>0</v>
      </c>
      <c r="G115" s="92">
        <f>+G116</f>
        <v>0</v>
      </c>
      <c r="H115" s="92">
        <f>+H116</f>
        <v>0</v>
      </c>
      <c r="I115"/>
    </row>
    <row r="116" spans="1:13">
      <c r="A116" s="87" t="s">
        <v>386</v>
      </c>
      <c r="B116" s="20" t="s">
        <v>388</v>
      </c>
      <c r="C116" s="92">
        <f t="shared" si="10"/>
        <v>0</v>
      </c>
      <c r="D116" s="88">
        <v>0</v>
      </c>
      <c r="E116" s="88">
        <v>0</v>
      </c>
      <c r="F116" s="88">
        <v>0</v>
      </c>
      <c r="G116" s="88">
        <v>0</v>
      </c>
      <c r="H116" s="88">
        <v>0</v>
      </c>
    </row>
    <row r="117" spans="1:13" s="10" customFormat="1">
      <c r="A117" s="90" t="s">
        <v>371</v>
      </c>
      <c r="B117" s="91" t="s">
        <v>372</v>
      </c>
      <c r="C117" s="92">
        <f t="shared" si="10"/>
        <v>2061230</v>
      </c>
      <c r="D117" s="92">
        <f>+D118</f>
        <v>0</v>
      </c>
      <c r="E117" s="92">
        <f>+E118</f>
        <v>0</v>
      </c>
      <c r="F117" s="92">
        <f>+F118</f>
        <v>0</v>
      </c>
      <c r="G117" s="92">
        <f>+G118</f>
        <v>2061230</v>
      </c>
      <c r="H117" s="92">
        <f>+H118</f>
        <v>0</v>
      </c>
      <c r="I117"/>
      <c r="J117"/>
    </row>
    <row r="118" spans="1:13">
      <c r="A118" s="87" t="s">
        <v>374</v>
      </c>
      <c r="B118" s="20" t="s">
        <v>373</v>
      </c>
      <c r="C118" s="84">
        <f t="shared" si="10"/>
        <v>2061230</v>
      </c>
      <c r="D118" s="88">
        <v>0</v>
      </c>
      <c r="E118" s="88">
        <v>0</v>
      </c>
      <c r="F118" s="88">
        <v>0</v>
      </c>
      <c r="G118" s="88">
        <v>2061230</v>
      </c>
      <c r="H118" s="88">
        <v>0</v>
      </c>
      <c r="J118" s="124"/>
    </row>
    <row r="119" spans="1:13" s="10" customFormat="1">
      <c r="A119" s="90" t="s">
        <v>376</v>
      </c>
      <c r="B119" s="91" t="s">
        <v>377</v>
      </c>
      <c r="C119" s="92">
        <f t="shared" si="10"/>
        <v>0</v>
      </c>
      <c r="D119" s="92">
        <f>+D120</f>
        <v>0</v>
      </c>
      <c r="E119" s="92">
        <f>+E120</f>
        <v>0</v>
      </c>
      <c r="F119" s="92">
        <f>+F120</f>
        <v>0</v>
      </c>
      <c r="G119" s="92">
        <f>+G120</f>
        <v>0</v>
      </c>
      <c r="H119" s="92">
        <f>+H120</f>
        <v>0</v>
      </c>
      <c r="I119"/>
      <c r="J119"/>
      <c r="M119" s="86"/>
    </row>
    <row r="120" spans="1:13">
      <c r="A120" s="87" t="s">
        <v>378</v>
      </c>
      <c r="B120" s="20" t="s">
        <v>379</v>
      </c>
      <c r="C120" s="92">
        <f t="shared" si="10"/>
        <v>0</v>
      </c>
      <c r="D120" s="88">
        <v>0</v>
      </c>
      <c r="E120" s="88">
        <v>0</v>
      </c>
      <c r="F120" s="88">
        <v>0</v>
      </c>
      <c r="G120" s="88">
        <v>0</v>
      </c>
      <c r="H120" s="88">
        <v>0</v>
      </c>
    </row>
    <row r="121" spans="1:13" s="10" customFormat="1">
      <c r="A121" s="90" t="s">
        <v>380</v>
      </c>
      <c r="B121" s="91" t="s">
        <v>381</v>
      </c>
      <c r="C121" s="92">
        <f t="shared" si="10"/>
        <v>0</v>
      </c>
      <c r="D121" s="92">
        <f>SUM(D122:D123)</f>
        <v>0</v>
      </c>
      <c r="E121" s="92">
        <f>SUM(E122:E123)</f>
        <v>0</v>
      </c>
      <c r="F121" s="92">
        <f>SUM(F122:F123)</f>
        <v>0</v>
      </c>
      <c r="G121" s="92">
        <f>SUM(G122:G123)</f>
        <v>0</v>
      </c>
      <c r="H121" s="92">
        <f>SUM(H122:H123)</f>
        <v>0</v>
      </c>
      <c r="I121"/>
    </row>
    <row r="122" spans="1:13">
      <c r="A122" s="87" t="s">
        <v>382</v>
      </c>
      <c r="B122" s="20" t="s">
        <v>384</v>
      </c>
      <c r="C122" s="92">
        <f t="shared" si="10"/>
        <v>0</v>
      </c>
      <c r="D122" s="88">
        <v>0</v>
      </c>
      <c r="E122" s="88">
        <v>0</v>
      </c>
      <c r="F122" s="88">
        <v>0</v>
      </c>
      <c r="G122" s="88">
        <v>0</v>
      </c>
      <c r="H122" s="88">
        <v>0</v>
      </c>
    </row>
    <row r="123" spans="1:13">
      <c r="A123" s="87" t="s">
        <v>383</v>
      </c>
      <c r="B123" s="20" t="s">
        <v>385</v>
      </c>
      <c r="C123" s="92">
        <f t="shared" si="10"/>
        <v>0</v>
      </c>
      <c r="D123" s="88">
        <v>0</v>
      </c>
      <c r="E123" s="88">
        <v>0</v>
      </c>
      <c r="F123" s="88">
        <v>0</v>
      </c>
      <c r="G123" s="88">
        <v>0</v>
      </c>
      <c r="H123" s="88">
        <v>0</v>
      </c>
    </row>
    <row r="124" spans="1:13" s="7" customFormat="1">
      <c r="A124" s="67"/>
      <c r="B124" s="89" t="s">
        <v>300</v>
      </c>
      <c r="C124" s="72">
        <f t="shared" ref="C124:H124" si="11">+C111+C113+C115+C117+C119+C121</f>
        <v>3745900</v>
      </c>
      <c r="D124" s="72">
        <f t="shared" si="11"/>
        <v>0</v>
      </c>
      <c r="E124" s="72">
        <f t="shared" si="11"/>
        <v>0</v>
      </c>
      <c r="F124" s="72">
        <f t="shared" si="11"/>
        <v>0</v>
      </c>
      <c r="G124" s="72">
        <f t="shared" si="11"/>
        <v>3745900</v>
      </c>
      <c r="H124" s="72">
        <f t="shared" si="11"/>
        <v>0</v>
      </c>
    </row>
    <row r="125" spans="1:13">
      <c r="A125" s="67"/>
      <c r="B125" s="89" t="s">
        <v>393</v>
      </c>
      <c r="C125" s="72">
        <f t="shared" ref="C125:G125" si="12">+C28+C46+C66+C92+C107+C124</f>
        <v>110561890</v>
      </c>
      <c r="D125" s="72">
        <f t="shared" si="12"/>
        <v>8967300</v>
      </c>
      <c r="E125" s="72">
        <f t="shared" si="12"/>
        <v>35712280</v>
      </c>
      <c r="F125" s="72">
        <f t="shared" si="12"/>
        <v>35467480</v>
      </c>
      <c r="G125" s="72">
        <f t="shared" si="12"/>
        <v>8770660</v>
      </c>
      <c r="H125" s="72">
        <f>+H28+H46+H66+H92+H107+H124</f>
        <v>21644170</v>
      </c>
    </row>
    <row r="127" spans="1:13">
      <c r="A127" s="67"/>
      <c r="B127" s="89" t="s">
        <v>420</v>
      </c>
      <c r="C127" s="72">
        <f>+'OBRAS B'!C125+'OBRAS C'!C125+'OBRAS D'!C125</f>
        <v>374159120</v>
      </c>
      <c r="D127" s="72">
        <f>+'OBRAS B'!D125+'OBRAS C'!D125+'OBRAS D'!D125</f>
        <v>26247660</v>
      </c>
      <c r="E127" s="72">
        <f>+'OBRAS B'!E125+'OBRAS C'!E125+'OBRAS D'!E125</f>
        <v>52043550</v>
      </c>
      <c r="F127" s="72">
        <f>+'OBRAS B'!F125+'OBRAS C'!F125+'OBRAS D'!F125</f>
        <v>151807880</v>
      </c>
      <c r="G127" s="72">
        <f>+'OBRAS B'!G125+'OBRAS C'!G125+'OBRAS D'!G125</f>
        <v>59084540</v>
      </c>
      <c r="H127" s="72">
        <f>+'OBRAS B'!H125+'OBRAS C'!H125+'OBRAS D'!H125</f>
        <v>64892780</v>
      </c>
    </row>
    <row r="129" spans="3:4">
      <c r="C129" s="94"/>
      <c r="D129" s="94"/>
    </row>
    <row r="130" spans="3:4">
      <c r="C130" s="94"/>
    </row>
    <row r="131" spans="3:4">
      <c r="D131" s="94"/>
    </row>
  </sheetData>
  <mergeCells count="3">
    <mergeCell ref="B8:H8"/>
    <mergeCell ref="B9:H9"/>
    <mergeCell ref="A10:H10"/>
  </mergeCells>
  <printOptions horizontalCentered="1"/>
  <pageMargins left="0" right="0" top="0.47244094488188981" bottom="0.31496062992125984" header="0.31496062992125984" footer="0.31496062992125984"/>
  <pageSetup paperSize="9" scale="66" orientation="landscape" r:id="rId1"/>
  <rowBreaks count="2" manualBreakCount="2">
    <brk id="46" max="16383" man="1"/>
    <brk id="92" max="16383" man="1"/>
  </rowBreaks>
  <drawing r:id="rId2"/>
</worksheet>
</file>

<file path=xl/worksheets/sheet2.xml><?xml version="1.0" encoding="utf-8"?>
<worksheet xmlns="http://schemas.openxmlformats.org/spreadsheetml/2006/main" xmlns:r="http://schemas.openxmlformats.org/officeDocument/2006/relationships">
  <dimension ref="B1:D35"/>
  <sheetViews>
    <sheetView workbookViewId="0">
      <selection activeCell="B9" sqref="B9:D9"/>
    </sheetView>
  </sheetViews>
  <sheetFormatPr baseColWidth="10" defaultRowHeight="15"/>
  <cols>
    <col min="2" max="2" width="42.28515625" bestFit="1" customWidth="1"/>
    <col min="4" max="4" width="12.140625" bestFit="1" customWidth="1"/>
  </cols>
  <sheetData>
    <row r="1" spans="2:4" s="1" customFormat="1" ht="15" customHeight="1">
      <c r="B1"/>
    </row>
    <row r="2" spans="2:4" s="1" customFormat="1" ht="15" customHeight="1"/>
    <row r="3" spans="2:4" s="1" customFormat="1" ht="15" customHeight="1"/>
    <row r="4" spans="2:4" s="1" customFormat="1" ht="15" customHeight="1"/>
    <row r="5" spans="2:4" s="1" customFormat="1" ht="15" customHeight="1" thickBot="1">
      <c r="B5" s="6"/>
      <c r="C5" s="6"/>
      <c r="D5" s="6"/>
    </row>
    <row r="6" spans="2:4" ht="15.75" thickTop="1"/>
    <row r="7" spans="2:4" s="20" customFormat="1" ht="12.75">
      <c r="B7" s="20" t="s">
        <v>868</v>
      </c>
    </row>
    <row r="8" spans="2:4">
      <c r="B8" s="390" t="s">
        <v>747</v>
      </c>
      <c r="C8" s="390"/>
      <c r="D8" s="390"/>
    </row>
    <row r="9" spans="2:4">
      <c r="B9" s="390" t="s">
        <v>53</v>
      </c>
      <c r="C9" s="390"/>
      <c r="D9" s="390"/>
    </row>
    <row r="10" spans="2:4" ht="6.75" customHeight="1" thickBot="1">
      <c r="B10" s="26"/>
      <c r="C10" s="26"/>
      <c r="D10" s="26"/>
    </row>
    <row r="11" spans="2:4" s="9" customFormat="1" ht="12">
      <c r="B11" s="28" t="s">
        <v>54</v>
      </c>
      <c r="C11" s="43" t="s">
        <v>4</v>
      </c>
      <c r="D11" s="29" t="s">
        <v>4</v>
      </c>
    </row>
    <row r="12" spans="2:4" s="24" customFormat="1" ht="3" customHeight="1">
      <c r="B12" s="30"/>
      <c r="C12" s="44"/>
      <c r="D12" s="31"/>
    </row>
    <row r="13" spans="2:4" s="10" customFormat="1">
      <c r="B13" s="32" t="s">
        <v>55</v>
      </c>
      <c r="C13" s="45"/>
      <c r="D13" s="33">
        <f>+resgral!F14+resgral!F21</f>
        <v>642936310</v>
      </c>
    </row>
    <row r="14" spans="2:4" s="7" customFormat="1">
      <c r="B14" s="32" t="s">
        <v>56</v>
      </c>
      <c r="C14" s="46"/>
      <c r="D14" s="33"/>
    </row>
    <row r="15" spans="2:4" s="20" customFormat="1">
      <c r="B15" s="34" t="s">
        <v>748</v>
      </c>
      <c r="C15" s="46"/>
      <c r="D15" s="33">
        <f>+resgral!F28</f>
        <v>42321690</v>
      </c>
    </row>
    <row r="16" spans="2:4" s="20" customFormat="1">
      <c r="B16" s="34" t="s">
        <v>57</v>
      </c>
      <c r="C16" s="46"/>
      <c r="D16" s="33">
        <f>+resgral!F27</f>
        <v>2230590</v>
      </c>
    </row>
    <row r="17" spans="2:4">
      <c r="B17" s="35"/>
      <c r="C17" s="46"/>
      <c r="D17" s="33"/>
    </row>
    <row r="18" spans="2:4">
      <c r="B18" s="36" t="s">
        <v>58</v>
      </c>
      <c r="C18" s="46"/>
      <c r="D18" s="37">
        <f>SUM(D13:D16)</f>
        <v>687488590</v>
      </c>
    </row>
    <row r="19" spans="2:4" ht="8.25" customHeight="1">
      <c r="B19" s="35"/>
      <c r="C19" s="46"/>
      <c r="D19" s="33"/>
    </row>
    <row r="20" spans="2:4">
      <c r="B20" s="35" t="s">
        <v>59</v>
      </c>
      <c r="C20" s="46"/>
      <c r="D20" s="33">
        <f>+resgral!B31</f>
        <v>622782730</v>
      </c>
    </row>
    <row r="21" spans="2:4" ht="8.25" customHeight="1">
      <c r="B21" s="35"/>
      <c r="C21" s="46"/>
      <c r="D21" s="33"/>
    </row>
    <row r="22" spans="2:4">
      <c r="B22" s="36" t="s">
        <v>58</v>
      </c>
      <c r="C22" s="46"/>
      <c r="D22" s="37">
        <f>SUM(D20)</f>
        <v>622782730</v>
      </c>
    </row>
    <row r="23" spans="2:4" ht="8.25" customHeight="1">
      <c r="B23" s="35"/>
      <c r="C23" s="46"/>
      <c r="D23" s="33"/>
    </row>
    <row r="24" spans="2:4">
      <c r="B24" s="49" t="s">
        <v>60</v>
      </c>
      <c r="C24" s="47"/>
      <c r="D24" s="38">
        <f>+D18-D22</f>
        <v>64705860</v>
      </c>
    </row>
    <row r="25" spans="2:4">
      <c r="B25" s="35"/>
      <c r="C25" s="46"/>
      <c r="D25" s="33"/>
    </row>
    <row r="26" spans="2:4">
      <c r="B26" s="39" t="s">
        <v>23</v>
      </c>
      <c r="C26" s="46"/>
      <c r="D26" s="33">
        <f>+C27+C31+C32+C33+C34</f>
        <v>64705860</v>
      </c>
    </row>
    <row r="27" spans="2:4">
      <c r="B27" s="40" t="s">
        <v>24</v>
      </c>
      <c r="C27" s="46">
        <f>+resgral!B33</f>
        <v>32851480</v>
      </c>
      <c r="D27" s="33"/>
    </row>
    <row r="28" spans="2:4">
      <c r="B28" s="34" t="s">
        <v>25</v>
      </c>
      <c r="C28" s="46">
        <f>+resgral!B34</f>
        <v>0</v>
      </c>
      <c r="D28" s="41"/>
    </row>
    <row r="29" spans="2:4">
      <c r="B29" s="34" t="s">
        <v>26</v>
      </c>
      <c r="C29" s="46">
        <f>+resgral!B35</f>
        <v>0</v>
      </c>
      <c r="D29" s="41"/>
    </row>
    <row r="30" spans="2:4">
      <c r="B30" s="34" t="s">
        <v>27</v>
      </c>
      <c r="C30" s="46">
        <f>+resgral!B36</f>
        <v>32851480</v>
      </c>
      <c r="D30" s="41"/>
    </row>
    <row r="31" spans="2:4">
      <c r="B31" s="40" t="s">
        <v>28</v>
      </c>
      <c r="C31" s="46">
        <f>+resgral!B37</f>
        <v>0</v>
      </c>
      <c r="D31" s="41"/>
    </row>
    <row r="32" spans="2:4">
      <c r="B32" s="40" t="s">
        <v>29</v>
      </c>
      <c r="C32" s="46">
        <f>+resgral!B38</f>
        <v>0</v>
      </c>
      <c r="D32" s="41"/>
    </row>
    <row r="33" spans="2:4">
      <c r="B33" s="40" t="s">
        <v>30</v>
      </c>
      <c r="C33" s="46">
        <f>+resgral!B39</f>
        <v>29378010</v>
      </c>
      <c r="D33" s="41"/>
    </row>
    <row r="34" spans="2:4">
      <c r="B34" s="40" t="s">
        <v>31</v>
      </c>
      <c r="C34" s="46">
        <f>+resgral!B40</f>
        <v>2476370</v>
      </c>
      <c r="D34" s="41"/>
    </row>
    <row r="35" spans="2:4" ht="15.75" thickBot="1">
      <c r="B35" s="50" t="s">
        <v>61</v>
      </c>
      <c r="C35" s="48"/>
      <c r="D35" s="42">
        <f>+D24-D26</f>
        <v>0</v>
      </c>
    </row>
  </sheetData>
  <mergeCells count="2">
    <mergeCell ref="B8:D8"/>
    <mergeCell ref="B9:D9"/>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dimension ref="B1:E32"/>
  <sheetViews>
    <sheetView workbookViewId="0">
      <selection activeCell="G23" sqref="G23"/>
    </sheetView>
  </sheetViews>
  <sheetFormatPr baseColWidth="10" defaultRowHeight="15"/>
  <cols>
    <col min="2" max="2" width="32.5703125" customWidth="1"/>
    <col min="3" max="5" width="17.28515625" bestFit="1" customWidth="1"/>
  </cols>
  <sheetData>
    <row r="1" spans="2:5" s="1" customFormat="1" ht="15" customHeight="1">
      <c r="B1"/>
    </row>
    <row r="2" spans="2:5" s="1" customFormat="1" ht="15" customHeight="1"/>
    <row r="3" spans="2:5" s="1" customFormat="1" ht="15" customHeight="1"/>
    <row r="4" spans="2:5" s="1" customFormat="1" ht="15" customHeight="1"/>
    <row r="5" spans="2:5" s="1" customFormat="1" ht="15" customHeight="1" thickBot="1">
      <c r="B5" s="6"/>
      <c r="C5" s="6"/>
      <c r="D5" s="6"/>
      <c r="E5" s="6"/>
    </row>
    <row r="6" spans="2:5" ht="7.5" customHeight="1" thickTop="1"/>
    <row r="7" spans="2:5" s="20" customFormat="1" ht="12.75">
      <c r="B7" s="20" t="s">
        <v>867</v>
      </c>
    </row>
    <row r="8" spans="2:5">
      <c r="B8" s="390" t="s">
        <v>747</v>
      </c>
      <c r="C8" s="390"/>
      <c r="D8" s="390"/>
    </row>
    <row r="9" spans="2:5">
      <c r="B9" s="390" t="s">
        <v>238</v>
      </c>
      <c r="C9" s="390"/>
      <c r="D9" s="390"/>
    </row>
    <row r="10" spans="2:5">
      <c r="B10" s="391" t="s">
        <v>426</v>
      </c>
      <c r="C10" s="391"/>
      <c r="D10" s="391"/>
    </row>
    <row r="11" spans="2:5" ht="7.5" customHeight="1"/>
    <row r="12" spans="2:5" s="9" customFormat="1" ht="12">
      <c r="B12" s="71" t="s">
        <v>3</v>
      </c>
      <c r="C12" s="71" t="s">
        <v>239</v>
      </c>
      <c r="D12" s="71" t="s">
        <v>421</v>
      </c>
      <c r="E12" s="71" t="s">
        <v>766</v>
      </c>
    </row>
    <row r="13" spans="2:5">
      <c r="D13" s="80">
        <v>761</v>
      </c>
      <c r="E13" s="80">
        <v>781</v>
      </c>
    </row>
    <row r="14" spans="2:5" s="7" customFormat="1">
      <c r="B14" s="67" t="s">
        <v>245</v>
      </c>
      <c r="C14" s="72">
        <f>+C15+C21+C22</f>
        <v>7194910</v>
      </c>
      <c r="D14" s="72">
        <f>+D15+D21+D22</f>
        <v>6389160</v>
      </c>
      <c r="E14" s="72">
        <f>+E15+E21+E22</f>
        <v>805750</v>
      </c>
    </row>
    <row r="15" spans="2:5" s="83" customFormat="1">
      <c r="B15" s="10" t="s">
        <v>281</v>
      </c>
      <c r="C15" s="81">
        <f>+C16+C19+C20</f>
        <v>7194910</v>
      </c>
      <c r="D15" s="82">
        <f>+D16+D19+D20</f>
        <v>6389160</v>
      </c>
      <c r="E15" s="82">
        <f>+E16+E19+E20</f>
        <v>805750</v>
      </c>
    </row>
    <row r="16" spans="2:5">
      <c r="B16" s="7" t="s">
        <v>246</v>
      </c>
      <c r="C16" s="70">
        <f>+C17+C18</f>
        <v>1850650</v>
      </c>
      <c r="D16" s="76">
        <f>+D17+D18</f>
        <v>1393010</v>
      </c>
      <c r="E16" s="88">
        <f>+E17+E18</f>
        <v>457640</v>
      </c>
    </row>
    <row r="17" spans="2:5" s="20" customFormat="1" ht="12.75">
      <c r="B17" s="20" t="s">
        <v>279</v>
      </c>
      <c r="C17" s="84">
        <f t="shared" ref="C17:C22" si="0">SUM(D17:E17)</f>
        <v>1777370</v>
      </c>
      <c r="D17" s="85">
        <f>+'ESPEC B'!D28</f>
        <v>1393010</v>
      </c>
      <c r="E17" s="85">
        <f>+'ESPEC B'!F28</f>
        <v>384360</v>
      </c>
    </row>
    <row r="18" spans="2:5" s="20" customFormat="1" ht="12.75">
      <c r="B18" s="20" t="s">
        <v>280</v>
      </c>
      <c r="C18" s="84">
        <f t="shared" si="0"/>
        <v>73280</v>
      </c>
      <c r="D18" s="85">
        <f>+'ESPEC B'!E28</f>
        <v>0</v>
      </c>
      <c r="E18" s="85">
        <f>+'ESPEC B'!G28</f>
        <v>73280</v>
      </c>
    </row>
    <row r="19" spans="2:5">
      <c r="B19" s="7" t="s">
        <v>247</v>
      </c>
      <c r="C19" s="70">
        <f t="shared" si="0"/>
        <v>2572050</v>
      </c>
      <c r="D19" s="76">
        <f>+'ESPEC B'!D49</f>
        <v>2567050</v>
      </c>
      <c r="E19" s="88">
        <f>+'ESPEC B'!E49</f>
        <v>5000</v>
      </c>
    </row>
    <row r="20" spans="2:5">
      <c r="B20" s="7" t="s">
        <v>248</v>
      </c>
      <c r="C20" s="70">
        <f t="shared" si="0"/>
        <v>2772210</v>
      </c>
      <c r="D20" s="76">
        <f>+'ESPEC B'!D75</f>
        <v>2429100</v>
      </c>
      <c r="E20" s="88">
        <f>+'ESPEC B'!E75</f>
        <v>343110</v>
      </c>
    </row>
    <row r="21" spans="2:5">
      <c r="B21" s="7" t="s">
        <v>249</v>
      </c>
      <c r="C21" s="70">
        <f t="shared" si="0"/>
        <v>0</v>
      </c>
      <c r="D21" s="76">
        <f>+'ESPEC B'!D94</f>
        <v>0</v>
      </c>
      <c r="E21" s="88">
        <f>+'ESPEC B'!E94</f>
        <v>0</v>
      </c>
    </row>
    <row r="22" spans="2:5">
      <c r="B22" s="7" t="s">
        <v>250</v>
      </c>
      <c r="C22" s="70">
        <f t="shared" si="0"/>
        <v>0</v>
      </c>
      <c r="D22" s="76">
        <f>+'ESPEC B'!D96</f>
        <v>0</v>
      </c>
      <c r="E22" s="88">
        <f>+'ESPEC B'!E96</f>
        <v>0</v>
      </c>
    </row>
    <row r="23" spans="2:5" s="7" customFormat="1">
      <c r="B23" s="67" t="s">
        <v>251</v>
      </c>
      <c r="C23" s="72">
        <f>+C24+C27+C28</f>
        <v>861840</v>
      </c>
      <c r="D23" s="72">
        <f>+D24+D27+D28</f>
        <v>861840</v>
      </c>
      <c r="E23" s="72">
        <f>+E24+E27+E28</f>
        <v>0</v>
      </c>
    </row>
    <row r="24" spans="2:5" s="10" customFormat="1">
      <c r="B24" s="10" t="s">
        <v>282</v>
      </c>
      <c r="C24" s="70">
        <f>+C25+C26</f>
        <v>861840</v>
      </c>
      <c r="D24" s="82">
        <f>+D25+D26</f>
        <v>861840</v>
      </c>
      <c r="E24" s="82">
        <f>+E25+E26</f>
        <v>0</v>
      </c>
    </row>
    <row r="25" spans="2:5">
      <c r="B25" s="7" t="s">
        <v>252</v>
      </c>
      <c r="C25" s="70">
        <f>SUM(D25:E25)</f>
        <v>861840</v>
      </c>
      <c r="D25" s="76">
        <f>+'ESPEC B'!D90</f>
        <v>861840</v>
      </c>
      <c r="E25" s="88">
        <f>+'ESPEC B'!E90</f>
        <v>0</v>
      </c>
    </row>
    <row r="26" spans="2:5">
      <c r="B26" s="7" t="s">
        <v>253</v>
      </c>
      <c r="C26" s="70">
        <f>SUM(D26:E26)</f>
        <v>0</v>
      </c>
      <c r="D26" s="76">
        <f>+'ESPEC B'!D98</f>
        <v>0</v>
      </c>
      <c r="E26" s="88">
        <f>+'ESPEC B'!E98</f>
        <v>0</v>
      </c>
    </row>
    <row r="27" spans="2:5">
      <c r="B27" s="7" t="s">
        <v>254</v>
      </c>
      <c r="C27" s="70">
        <f>SUM(D27:E27)</f>
        <v>0</v>
      </c>
      <c r="D27" s="76">
        <f>+'ESPEC B'!D100</f>
        <v>0</v>
      </c>
      <c r="E27" s="88">
        <f>+'ESPEC B'!E100</f>
        <v>0</v>
      </c>
    </row>
    <row r="28" spans="2:5">
      <c r="B28" s="7" t="s">
        <v>255</v>
      </c>
      <c r="C28" s="70">
        <f>SUM(D28:E28)</f>
        <v>0</v>
      </c>
      <c r="D28" s="76">
        <f>+'ESPEC B'!D102</f>
        <v>0</v>
      </c>
      <c r="E28" s="88">
        <f>+'ESPEC B'!E102</f>
        <v>0</v>
      </c>
    </row>
    <row r="29" spans="2:5" s="7" customFormat="1">
      <c r="B29" s="67" t="s">
        <v>45</v>
      </c>
      <c r="C29" s="72">
        <f>+C30</f>
        <v>0</v>
      </c>
      <c r="D29" s="72">
        <f>+D30</f>
        <v>0</v>
      </c>
      <c r="E29" s="72">
        <f>+E30</f>
        <v>0</v>
      </c>
    </row>
    <row r="30" spans="2:5">
      <c r="B30" t="s">
        <v>256</v>
      </c>
      <c r="C30" s="70">
        <f>SUM(D30:E30)</f>
        <v>0</v>
      </c>
      <c r="D30" s="76">
        <f>+'ESPEC B'!D104</f>
        <v>0</v>
      </c>
      <c r="E30" s="88">
        <f>+'ESPEC B'!E104</f>
        <v>0</v>
      </c>
    </row>
    <row r="31" spans="2:5" s="7" customFormat="1">
      <c r="B31" s="69" t="s">
        <v>48</v>
      </c>
      <c r="C31" s="72">
        <f>+C14+C23+C29</f>
        <v>8056750</v>
      </c>
      <c r="D31" s="72">
        <f>+D14+D23+D29</f>
        <v>7251000</v>
      </c>
      <c r="E31" s="72">
        <f>+E14+E23+E29</f>
        <v>805750</v>
      </c>
    </row>
    <row r="32" spans="2:5">
      <c r="C32" s="79">
        <v>1</v>
      </c>
      <c r="D32" s="73">
        <f>+D31/$C$31</f>
        <v>0.89999069103546714</v>
      </c>
      <c r="E32" s="73">
        <f>+E31/$C$31</f>
        <v>0.10000930896453285</v>
      </c>
    </row>
  </sheetData>
  <mergeCells count="3">
    <mergeCell ref="B8:D8"/>
    <mergeCell ref="B9:D9"/>
    <mergeCell ref="B10:D10"/>
  </mergeCells>
  <printOptions horizontalCentered="1"/>
  <pageMargins left="0.53" right="0.46456692913385828" top="0.74803149606299213" bottom="0.74803149606299213" header="0.31496062992125984" footer="0.31496062992125984"/>
  <pageSetup paperSize="9" scale="88" orientation="portrait" r:id="rId1"/>
  <drawing r:id="rId2"/>
</worksheet>
</file>

<file path=xl/worksheets/sheet21.xml><?xml version="1.0" encoding="utf-8"?>
<worksheet xmlns="http://schemas.openxmlformats.org/spreadsheetml/2006/main" xmlns:r="http://schemas.openxmlformats.org/officeDocument/2006/relationships">
  <dimension ref="A1:G108"/>
  <sheetViews>
    <sheetView workbookViewId="0">
      <selection activeCell="B7" sqref="B7"/>
    </sheetView>
  </sheetViews>
  <sheetFormatPr baseColWidth="10" defaultRowHeight="15"/>
  <cols>
    <col min="1" max="1" width="6.85546875" bestFit="1" customWidth="1"/>
    <col min="2" max="2" width="37.140625" bestFit="1" customWidth="1"/>
    <col min="3" max="3" width="14.85546875" bestFit="1" customWidth="1"/>
    <col min="4" max="4" width="15.5703125" bestFit="1" customWidth="1"/>
    <col min="6" max="6" width="15.5703125" bestFit="1" customWidth="1"/>
  </cols>
  <sheetData>
    <row r="1" spans="1:7" s="1" customFormat="1">
      <c r="B1"/>
    </row>
    <row r="2" spans="1:7" s="1" customFormat="1" ht="12.75"/>
    <row r="3" spans="1:7" s="1" customFormat="1" ht="12.75"/>
    <row r="4" spans="1:7" s="1" customFormat="1" ht="12.75"/>
    <row r="5" spans="1:7" s="1" customFormat="1" ht="13.5" thickBot="1">
      <c r="A5" s="6"/>
      <c r="B5" s="6"/>
      <c r="C5" s="6"/>
      <c r="D5" s="6"/>
      <c r="E5" s="6"/>
      <c r="F5" s="6"/>
      <c r="G5" s="6"/>
    </row>
    <row r="6" spans="1:7" ht="15.75" thickTop="1"/>
    <row r="7" spans="1:7" s="20" customFormat="1" ht="12.75">
      <c r="B7" s="20" t="s">
        <v>867</v>
      </c>
    </row>
    <row r="8" spans="1:7">
      <c r="B8" s="390" t="s">
        <v>747</v>
      </c>
      <c r="C8" s="390"/>
      <c r="D8" s="390"/>
      <c r="E8" s="390"/>
    </row>
    <row r="9" spans="1:7">
      <c r="B9" s="390" t="s">
        <v>238</v>
      </c>
      <c r="C9" s="390"/>
      <c r="D9" s="390"/>
      <c r="E9" s="390"/>
    </row>
    <row r="10" spans="1:7">
      <c r="A10" s="391" t="s">
        <v>767</v>
      </c>
      <c r="B10" s="391"/>
      <c r="C10" s="391"/>
      <c r="D10" s="391"/>
      <c r="E10" s="391"/>
      <c r="F10" s="391"/>
      <c r="G10" s="391"/>
    </row>
    <row r="11" spans="1:7">
      <c r="D11" s="395" t="s">
        <v>768</v>
      </c>
      <c r="E11" s="395"/>
      <c r="F11" s="395" t="s">
        <v>766</v>
      </c>
      <c r="G11" s="395"/>
    </row>
    <row r="12" spans="1:7" s="9" customFormat="1" ht="12">
      <c r="A12" s="71" t="s">
        <v>69</v>
      </c>
      <c r="B12" s="71" t="s">
        <v>424</v>
      </c>
      <c r="C12" s="71" t="s">
        <v>239</v>
      </c>
      <c r="D12" s="71" t="s">
        <v>422</v>
      </c>
      <c r="E12" s="71" t="s">
        <v>423</v>
      </c>
      <c r="F12" s="71" t="s">
        <v>422</v>
      </c>
      <c r="G12" s="71" t="s">
        <v>423</v>
      </c>
    </row>
    <row r="13" spans="1:7">
      <c r="C13" s="80"/>
      <c r="D13" s="80" t="s">
        <v>283</v>
      </c>
      <c r="E13" s="80" t="s">
        <v>303</v>
      </c>
      <c r="F13" s="80" t="s">
        <v>283</v>
      </c>
      <c r="G13" s="80" t="s">
        <v>303</v>
      </c>
    </row>
    <row r="14" spans="1:7" s="83" customFormat="1">
      <c r="A14" s="87" t="s">
        <v>74</v>
      </c>
      <c r="B14" s="20" t="s">
        <v>286</v>
      </c>
      <c r="C14" s="92">
        <f>SUM(D14:G14)</f>
        <v>998050</v>
      </c>
      <c r="D14" s="88">
        <v>757650</v>
      </c>
      <c r="E14" s="88">
        <v>0</v>
      </c>
      <c r="F14" s="88">
        <v>184740</v>
      </c>
      <c r="G14" s="88">
        <v>55660</v>
      </c>
    </row>
    <row r="15" spans="1:7">
      <c r="A15" s="87" t="s">
        <v>76</v>
      </c>
      <c r="B15" s="20" t="s">
        <v>287</v>
      </c>
      <c r="C15" s="92">
        <f t="shared" ref="C15:C26" si="0">SUM(D15:G15)</f>
        <v>95610</v>
      </c>
      <c r="D15" s="88">
        <v>90370</v>
      </c>
      <c r="E15" s="88">
        <v>0</v>
      </c>
      <c r="F15" s="88">
        <v>5240</v>
      </c>
      <c r="G15" s="88">
        <v>0</v>
      </c>
    </row>
    <row r="16" spans="1:7" s="20" customFormat="1">
      <c r="A16" s="87" t="s">
        <v>77</v>
      </c>
      <c r="B16" s="20" t="s">
        <v>288</v>
      </c>
      <c r="C16" s="92">
        <f t="shared" si="0"/>
        <v>0</v>
      </c>
      <c r="D16" s="88">
        <v>0</v>
      </c>
      <c r="E16" s="88">
        <v>0</v>
      </c>
      <c r="F16" s="88">
        <v>0</v>
      </c>
      <c r="G16" s="88">
        <v>0</v>
      </c>
    </row>
    <row r="17" spans="1:7" s="20" customFormat="1">
      <c r="A17" s="87" t="s">
        <v>78</v>
      </c>
      <c r="B17" s="20" t="s">
        <v>289</v>
      </c>
      <c r="C17" s="92">
        <f t="shared" si="0"/>
        <v>0</v>
      </c>
      <c r="D17" s="88">
        <v>0</v>
      </c>
      <c r="E17" s="88">
        <v>0</v>
      </c>
      <c r="F17" s="88">
        <v>0</v>
      </c>
      <c r="G17" s="88">
        <v>0</v>
      </c>
    </row>
    <row r="18" spans="1:7">
      <c r="A18" s="87" t="s">
        <v>79</v>
      </c>
      <c r="B18" s="20" t="s">
        <v>290</v>
      </c>
      <c r="C18" s="92">
        <f t="shared" si="0"/>
        <v>375470</v>
      </c>
      <c r="D18" s="88">
        <v>289670</v>
      </c>
      <c r="E18" s="88">
        <v>0</v>
      </c>
      <c r="F18" s="88">
        <v>85800</v>
      </c>
      <c r="G18" s="88">
        <v>0</v>
      </c>
    </row>
    <row r="19" spans="1:7">
      <c r="A19" s="87" t="s">
        <v>80</v>
      </c>
      <c r="B19" s="20" t="s">
        <v>291</v>
      </c>
      <c r="C19" s="92">
        <f t="shared" si="0"/>
        <v>6740</v>
      </c>
      <c r="D19" s="88">
        <v>6740</v>
      </c>
      <c r="E19" s="88">
        <v>0</v>
      </c>
      <c r="F19" s="88">
        <v>0</v>
      </c>
      <c r="G19" s="88">
        <v>0</v>
      </c>
    </row>
    <row r="20" spans="1:7">
      <c r="A20" s="87" t="s">
        <v>81</v>
      </c>
      <c r="B20" s="20" t="s">
        <v>292</v>
      </c>
      <c r="C20" s="92">
        <f t="shared" si="0"/>
        <v>78180</v>
      </c>
      <c r="D20" s="88">
        <v>40700</v>
      </c>
      <c r="E20" s="88">
        <v>0</v>
      </c>
      <c r="F20" s="88">
        <v>33090</v>
      </c>
      <c r="G20" s="88">
        <v>4390</v>
      </c>
    </row>
    <row r="21" spans="1:7">
      <c r="A21" s="87" t="s">
        <v>82</v>
      </c>
      <c r="B21" s="20" t="s">
        <v>293</v>
      </c>
      <c r="C21" s="92">
        <f t="shared" si="0"/>
        <v>40880</v>
      </c>
      <c r="D21" s="88">
        <v>38550</v>
      </c>
      <c r="E21" s="88">
        <v>0</v>
      </c>
      <c r="F21" s="88">
        <v>2330</v>
      </c>
      <c r="G21" s="88">
        <v>0</v>
      </c>
    </row>
    <row r="22" spans="1:7" s="7" customFormat="1">
      <c r="A22" s="87" t="s">
        <v>93</v>
      </c>
      <c r="B22" s="20" t="s">
        <v>294</v>
      </c>
      <c r="C22" s="92">
        <f t="shared" si="0"/>
        <v>26750</v>
      </c>
      <c r="D22" s="88">
        <v>26750</v>
      </c>
      <c r="E22" s="88">
        <v>0</v>
      </c>
      <c r="F22" s="88">
        <v>0</v>
      </c>
      <c r="G22" s="88">
        <v>0</v>
      </c>
    </row>
    <row r="23" spans="1:7" s="10" customFormat="1">
      <c r="A23" s="87" t="s">
        <v>94</v>
      </c>
      <c r="B23" s="20" t="s">
        <v>295</v>
      </c>
      <c r="C23" s="92">
        <f t="shared" si="0"/>
        <v>7030</v>
      </c>
      <c r="D23" s="88">
        <f>160+1600</f>
        <v>1760</v>
      </c>
      <c r="E23" s="88">
        <v>0</v>
      </c>
      <c r="F23" s="88">
        <f>990+3200</f>
        <v>4190</v>
      </c>
      <c r="G23" s="88">
        <v>1080</v>
      </c>
    </row>
    <row r="24" spans="1:7">
      <c r="A24" s="87" t="s">
        <v>151</v>
      </c>
      <c r="B24" s="20" t="s">
        <v>296</v>
      </c>
      <c r="C24" s="92">
        <f t="shared" si="0"/>
        <v>87240</v>
      </c>
      <c r="D24" s="88">
        <v>53670</v>
      </c>
      <c r="E24" s="88">
        <v>0</v>
      </c>
      <c r="F24" s="88">
        <v>28490</v>
      </c>
      <c r="G24" s="88">
        <v>5080</v>
      </c>
    </row>
    <row r="25" spans="1:7">
      <c r="A25" s="87" t="s">
        <v>153</v>
      </c>
      <c r="B25" s="20" t="s">
        <v>297</v>
      </c>
      <c r="C25" s="92">
        <f t="shared" si="0"/>
        <v>30570</v>
      </c>
      <c r="D25" s="88">
        <v>10740</v>
      </c>
      <c r="E25" s="88">
        <v>0</v>
      </c>
      <c r="F25" s="88">
        <v>16820</v>
      </c>
      <c r="G25" s="88">
        <v>3010</v>
      </c>
    </row>
    <row r="26" spans="1:7">
      <c r="A26" s="87" t="s">
        <v>155</v>
      </c>
      <c r="B26" s="20" t="s">
        <v>298</v>
      </c>
      <c r="C26" s="92">
        <f t="shared" si="0"/>
        <v>104130</v>
      </c>
      <c r="D26" s="88">
        <v>76410</v>
      </c>
      <c r="E26" s="88">
        <v>0</v>
      </c>
      <c r="F26" s="88">
        <v>23660</v>
      </c>
      <c r="G26" s="88">
        <v>4060</v>
      </c>
    </row>
    <row r="27" spans="1:7">
      <c r="A27" s="87" t="s">
        <v>157</v>
      </c>
      <c r="B27" s="20" t="s">
        <v>299</v>
      </c>
      <c r="C27" s="92">
        <f t="shared" ref="C27" si="1">SUM(D27:E27)</f>
        <v>0</v>
      </c>
      <c r="D27" s="88">
        <v>0</v>
      </c>
      <c r="E27" s="88">
        <v>0</v>
      </c>
      <c r="F27" s="88">
        <v>0</v>
      </c>
      <c r="G27" s="88">
        <v>0</v>
      </c>
    </row>
    <row r="28" spans="1:7" s="7" customFormat="1">
      <c r="A28" s="67"/>
      <c r="B28" s="89" t="s">
        <v>300</v>
      </c>
      <c r="C28" s="72">
        <f>SUM(C14:C27)</f>
        <v>1850650</v>
      </c>
      <c r="D28" s="72">
        <f t="shared" ref="D28:E28" si="2">SUM(D14:D27)</f>
        <v>1393010</v>
      </c>
      <c r="E28" s="72">
        <f t="shared" si="2"/>
        <v>0</v>
      </c>
      <c r="F28" s="72">
        <f t="shared" ref="F28:G28" si="3">SUM(F14:F27)</f>
        <v>384360</v>
      </c>
      <c r="G28" s="72">
        <f t="shared" si="3"/>
        <v>73280</v>
      </c>
    </row>
    <row r="31" spans="1:7" s="9" customFormat="1" ht="12">
      <c r="A31" s="71" t="s">
        <v>69</v>
      </c>
      <c r="B31" s="71" t="s">
        <v>302</v>
      </c>
      <c r="C31" s="71" t="s">
        <v>239</v>
      </c>
      <c r="D31" s="71" t="s">
        <v>425</v>
      </c>
      <c r="E31" s="71" t="s">
        <v>766</v>
      </c>
      <c r="F31" s="71"/>
      <c r="G31" s="71"/>
    </row>
    <row r="32" spans="1:7" s="80" customFormat="1">
      <c r="A32" s="93" t="s">
        <v>304</v>
      </c>
      <c r="D32" s="80">
        <v>761</v>
      </c>
      <c r="E32" s="80">
        <v>781</v>
      </c>
    </row>
    <row r="33" spans="1:7" s="83" customFormat="1">
      <c r="A33" s="87" t="s">
        <v>74</v>
      </c>
      <c r="B33" s="20" t="s">
        <v>307</v>
      </c>
      <c r="C33" s="92">
        <f>SUM(D33:G33)</f>
        <v>5000</v>
      </c>
      <c r="D33" s="88">
        <v>0</v>
      </c>
      <c r="E33" s="88">
        <v>5000</v>
      </c>
      <c r="F33" s="88">
        <v>0</v>
      </c>
      <c r="G33" s="88">
        <v>0</v>
      </c>
    </row>
    <row r="34" spans="1:7">
      <c r="A34" s="87" t="s">
        <v>76</v>
      </c>
      <c r="B34" s="20" t="s">
        <v>308</v>
      </c>
      <c r="C34" s="92">
        <f t="shared" ref="C34:C47" si="4">SUM(D34:G34)</f>
        <v>0</v>
      </c>
      <c r="D34" s="88">
        <v>0</v>
      </c>
      <c r="E34" s="88">
        <v>0</v>
      </c>
      <c r="F34" s="88">
        <v>0</v>
      </c>
      <c r="G34" s="88">
        <v>0</v>
      </c>
    </row>
    <row r="35" spans="1:7" s="20" customFormat="1">
      <c r="A35" s="87" t="s">
        <v>77</v>
      </c>
      <c r="B35" s="20" t="s">
        <v>309</v>
      </c>
      <c r="C35" s="92">
        <f t="shared" si="4"/>
        <v>1800</v>
      </c>
      <c r="D35" s="88">
        <v>1800</v>
      </c>
      <c r="E35" s="88">
        <v>0</v>
      </c>
      <c r="F35" s="88">
        <v>0</v>
      </c>
      <c r="G35" s="88">
        <v>0</v>
      </c>
    </row>
    <row r="36" spans="1:7" s="20" customFormat="1">
      <c r="A36" s="87" t="s">
        <v>78</v>
      </c>
      <c r="B36" s="20" t="s">
        <v>310</v>
      </c>
      <c r="C36" s="92">
        <f t="shared" si="4"/>
        <v>110390</v>
      </c>
      <c r="D36" s="88">
        <v>110390</v>
      </c>
      <c r="E36" s="88">
        <v>0</v>
      </c>
      <c r="F36" s="88">
        <v>0</v>
      </c>
      <c r="G36" s="88">
        <v>0</v>
      </c>
    </row>
    <row r="37" spans="1:7">
      <c r="A37" s="87" t="s">
        <v>79</v>
      </c>
      <c r="B37" s="20" t="s">
        <v>311</v>
      </c>
      <c r="C37" s="92">
        <f t="shared" si="4"/>
        <v>0</v>
      </c>
      <c r="D37" s="88">
        <v>0</v>
      </c>
      <c r="E37" s="88">
        <v>0</v>
      </c>
      <c r="F37" s="88">
        <v>0</v>
      </c>
      <c r="G37" s="88">
        <v>0</v>
      </c>
    </row>
    <row r="38" spans="1:7">
      <c r="A38" s="87" t="s">
        <v>80</v>
      </c>
      <c r="B38" s="20" t="s">
        <v>312</v>
      </c>
      <c r="C38" s="92">
        <f t="shared" si="4"/>
        <v>0</v>
      </c>
      <c r="D38" s="88">
        <v>0</v>
      </c>
      <c r="E38" s="88">
        <v>0</v>
      </c>
      <c r="F38" s="88">
        <v>0</v>
      </c>
      <c r="G38" s="88">
        <v>0</v>
      </c>
    </row>
    <row r="39" spans="1:7">
      <c r="A39" s="87" t="s">
        <v>81</v>
      </c>
      <c r="B39" s="20" t="s">
        <v>313</v>
      </c>
      <c r="C39" s="92">
        <f t="shared" si="4"/>
        <v>0</v>
      </c>
      <c r="D39" s="88">
        <v>0</v>
      </c>
      <c r="E39" s="88">
        <v>0</v>
      </c>
      <c r="F39" s="88">
        <v>0</v>
      </c>
      <c r="G39" s="88">
        <v>0</v>
      </c>
    </row>
    <row r="40" spans="1:7">
      <c r="A40" s="87" t="s">
        <v>82</v>
      </c>
      <c r="B40" s="20" t="s">
        <v>314</v>
      </c>
      <c r="C40" s="92">
        <f t="shared" si="4"/>
        <v>0</v>
      </c>
      <c r="D40" s="88">
        <v>0</v>
      </c>
      <c r="E40" s="88">
        <v>0</v>
      </c>
      <c r="F40" s="88">
        <v>0</v>
      </c>
      <c r="G40" s="88">
        <v>0</v>
      </c>
    </row>
    <row r="41" spans="1:7">
      <c r="A41" s="87" t="s">
        <v>93</v>
      </c>
      <c r="B41" s="20" t="s">
        <v>315</v>
      </c>
      <c r="C41" s="92">
        <f t="shared" si="4"/>
        <v>0</v>
      </c>
      <c r="D41" s="88">
        <v>0</v>
      </c>
      <c r="E41" s="88">
        <v>0</v>
      </c>
      <c r="F41" s="88">
        <v>0</v>
      </c>
      <c r="G41" s="88">
        <v>0</v>
      </c>
    </row>
    <row r="42" spans="1:7">
      <c r="A42" s="87" t="s">
        <v>94</v>
      </c>
      <c r="B42" s="20" t="s">
        <v>316</v>
      </c>
      <c r="C42" s="92">
        <f t="shared" si="4"/>
        <v>0</v>
      </c>
      <c r="D42" s="88">
        <v>0</v>
      </c>
      <c r="E42" s="88">
        <v>0</v>
      </c>
      <c r="F42" s="88">
        <v>0</v>
      </c>
      <c r="G42" s="88">
        <v>0</v>
      </c>
    </row>
    <row r="43" spans="1:7">
      <c r="A43" s="87" t="s">
        <v>151</v>
      </c>
      <c r="B43" s="20" t="s">
        <v>317</v>
      </c>
      <c r="C43" s="92">
        <f t="shared" si="4"/>
        <v>2138130</v>
      </c>
      <c r="D43" s="88">
        <v>2138130</v>
      </c>
      <c r="E43" s="88">
        <v>0</v>
      </c>
      <c r="F43" s="88">
        <v>0</v>
      </c>
      <c r="G43" s="88">
        <v>0</v>
      </c>
    </row>
    <row r="44" spans="1:7">
      <c r="A44" s="87" t="s">
        <v>153</v>
      </c>
      <c r="B44" s="20" t="s">
        <v>318</v>
      </c>
      <c r="C44" s="92">
        <f t="shared" si="4"/>
        <v>77340</v>
      </c>
      <c r="D44" s="88">
        <v>77340</v>
      </c>
      <c r="E44" s="88">
        <v>0</v>
      </c>
      <c r="F44" s="88">
        <v>0</v>
      </c>
      <c r="G44" s="88">
        <v>0</v>
      </c>
    </row>
    <row r="45" spans="1:7">
      <c r="A45" s="87" t="s">
        <v>155</v>
      </c>
      <c r="B45" s="20" t="s">
        <v>319</v>
      </c>
      <c r="C45" s="92">
        <f t="shared" si="4"/>
        <v>0</v>
      </c>
      <c r="D45" s="88">
        <v>0</v>
      </c>
      <c r="E45" s="88">
        <v>0</v>
      </c>
      <c r="F45" s="88">
        <v>0</v>
      </c>
      <c r="G45" s="88">
        <v>0</v>
      </c>
    </row>
    <row r="46" spans="1:7" s="7" customFormat="1">
      <c r="A46" s="87" t="s">
        <v>157</v>
      </c>
      <c r="B46" s="20" t="s">
        <v>320</v>
      </c>
      <c r="C46" s="92">
        <f t="shared" si="4"/>
        <v>0</v>
      </c>
      <c r="D46" s="88">
        <v>0</v>
      </c>
      <c r="E46" s="88">
        <v>0</v>
      </c>
      <c r="F46" s="88">
        <v>0</v>
      </c>
      <c r="G46" s="88">
        <v>0</v>
      </c>
    </row>
    <row r="47" spans="1:7" s="10" customFormat="1">
      <c r="A47" s="87" t="s">
        <v>159</v>
      </c>
      <c r="B47" s="20" t="s">
        <v>321</v>
      </c>
      <c r="C47" s="92">
        <f t="shared" si="4"/>
        <v>239390</v>
      </c>
      <c r="D47" s="88">
        <v>239390</v>
      </c>
      <c r="E47" s="88">
        <v>0</v>
      </c>
      <c r="F47" s="88">
        <v>0</v>
      </c>
      <c r="G47" s="88">
        <v>0</v>
      </c>
    </row>
    <row r="48" spans="1:7">
      <c r="A48" s="87"/>
      <c r="B48" s="20"/>
      <c r="C48" s="92"/>
      <c r="D48" s="88"/>
      <c r="E48" s="88"/>
      <c r="F48" s="88"/>
      <c r="G48" s="88"/>
    </row>
    <row r="49" spans="1:7" s="7" customFormat="1">
      <c r="A49" s="67"/>
      <c r="B49" s="89" t="s">
        <v>300</v>
      </c>
      <c r="C49" s="72">
        <f>SUM(C33:C48)</f>
        <v>2572050</v>
      </c>
      <c r="D49" s="72">
        <f t="shared" ref="D49:E49" si="5">SUM(D33:D48)</f>
        <v>2567050</v>
      </c>
      <c r="E49" s="72">
        <f t="shared" si="5"/>
        <v>5000</v>
      </c>
      <c r="F49" s="72">
        <f t="shared" ref="F49:G49" si="6">SUM(F33:F48)</f>
        <v>0</v>
      </c>
      <c r="G49" s="72">
        <f t="shared" si="6"/>
        <v>0</v>
      </c>
    </row>
    <row r="51" spans="1:7" s="9" customFormat="1" ht="12">
      <c r="A51" s="71" t="s">
        <v>69</v>
      </c>
      <c r="B51" s="71" t="s">
        <v>324</v>
      </c>
      <c r="C51" s="71" t="s">
        <v>239</v>
      </c>
      <c r="D51" s="71" t="s">
        <v>425</v>
      </c>
      <c r="E51" s="71" t="s">
        <v>766</v>
      </c>
      <c r="F51" s="71"/>
      <c r="G51" s="71"/>
    </row>
    <row r="52" spans="1:7" s="80" customFormat="1">
      <c r="A52" s="93" t="s">
        <v>323</v>
      </c>
      <c r="D52" s="80">
        <v>761</v>
      </c>
      <c r="E52" s="80">
        <v>781</v>
      </c>
    </row>
    <row r="53" spans="1:7" s="83" customFormat="1">
      <c r="A53" s="87" t="s">
        <v>74</v>
      </c>
      <c r="B53" s="20" t="s">
        <v>325</v>
      </c>
      <c r="C53" s="92">
        <f t="shared" ref="C53:C74" si="7">SUM(D53:E53)</f>
        <v>0</v>
      </c>
      <c r="D53" s="88">
        <v>0</v>
      </c>
      <c r="E53" s="88">
        <v>0</v>
      </c>
      <c r="F53" s="88">
        <v>0</v>
      </c>
      <c r="G53" s="88">
        <v>0</v>
      </c>
    </row>
    <row r="54" spans="1:7">
      <c r="A54" s="87" t="s">
        <v>76</v>
      </c>
      <c r="B54" s="20" t="s">
        <v>326</v>
      </c>
      <c r="C54" s="92">
        <f t="shared" si="7"/>
        <v>0</v>
      </c>
      <c r="D54" s="88">
        <v>0</v>
      </c>
      <c r="E54" s="88">
        <v>0</v>
      </c>
      <c r="F54" s="88">
        <v>0</v>
      </c>
      <c r="G54" s="88">
        <v>0</v>
      </c>
    </row>
    <row r="55" spans="1:7" s="20" customFormat="1">
      <c r="A55" s="87" t="s">
        <v>77</v>
      </c>
      <c r="B55" s="20" t="s">
        <v>327</v>
      </c>
      <c r="C55" s="92">
        <f t="shared" si="7"/>
        <v>0</v>
      </c>
      <c r="D55" s="88">
        <v>0</v>
      </c>
      <c r="E55" s="88">
        <v>0</v>
      </c>
      <c r="F55" s="88">
        <v>0</v>
      </c>
      <c r="G55" s="88">
        <v>0</v>
      </c>
    </row>
    <row r="56" spans="1:7" s="20" customFormat="1">
      <c r="A56" s="87" t="s">
        <v>78</v>
      </c>
      <c r="B56" s="20" t="s">
        <v>328</v>
      </c>
      <c r="C56" s="92">
        <f t="shared" si="7"/>
        <v>0</v>
      </c>
      <c r="D56" s="88">
        <v>0</v>
      </c>
      <c r="E56" s="88">
        <v>0</v>
      </c>
      <c r="F56" s="88">
        <v>0</v>
      </c>
      <c r="G56" s="88">
        <v>0</v>
      </c>
    </row>
    <row r="57" spans="1:7">
      <c r="A57" s="87" t="s">
        <v>79</v>
      </c>
      <c r="B57" s="20" t="s">
        <v>329</v>
      </c>
      <c r="C57" s="92">
        <f t="shared" si="7"/>
        <v>54000</v>
      </c>
      <c r="D57" s="88">
        <v>0</v>
      </c>
      <c r="E57" s="88">
        <v>54000</v>
      </c>
      <c r="F57" s="88">
        <v>0</v>
      </c>
      <c r="G57" s="88">
        <v>0</v>
      </c>
    </row>
    <row r="58" spans="1:7">
      <c r="A58" s="87" t="s">
        <v>80</v>
      </c>
      <c r="B58" s="20" t="s">
        <v>330</v>
      </c>
      <c r="C58" s="92">
        <f t="shared" si="7"/>
        <v>2000</v>
      </c>
      <c r="D58" s="88">
        <v>0</v>
      </c>
      <c r="E58" s="88">
        <v>2000</v>
      </c>
      <c r="F58" s="88">
        <v>0</v>
      </c>
      <c r="G58" s="88">
        <v>0</v>
      </c>
    </row>
    <row r="59" spans="1:7">
      <c r="A59" s="87" t="s">
        <v>81</v>
      </c>
      <c r="B59" s="20" t="s">
        <v>331</v>
      </c>
      <c r="C59" s="92">
        <f t="shared" si="7"/>
        <v>1169090</v>
      </c>
      <c r="D59" s="88">
        <v>1169090</v>
      </c>
      <c r="E59" s="88">
        <v>0</v>
      </c>
      <c r="F59" s="88">
        <v>0</v>
      </c>
      <c r="G59" s="88">
        <v>0</v>
      </c>
    </row>
    <row r="60" spans="1:7">
      <c r="A60" s="87" t="s">
        <v>82</v>
      </c>
      <c r="B60" s="20" t="s">
        <v>332</v>
      </c>
      <c r="C60" s="92">
        <f t="shared" si="7"/>
        <v>0</v>
      </c>
      <c r="D60" s="88">
        <v>0</v>
      </c>
      <c r="E60" s="88">
        <v>0</v>
      </c>
      <c r="F60" s="88">
        <v>0</v>
      </c>
      <c r="G60" s="88">
        <v>0</v>
      </c>
    </row>
    <row r="61" spans="1:7">
      <c r="A61" s="87" t="s">
        <v>93</v>
      </c>
      <c r="B61" s="20" t="s">
        <v>333</v>
      </c>
      <c r="C61" s="92">
        <f t="shared" si="7"/>
        <v>5000</v>
      </c>
      <c r="D61" s="88">
        <v>0</v>
      </c>
      <c r="E61" s="88">
        <v>5000</v>
      </c>
      <c r="F61" s="88">
        <v>0</v>
      </c>
      <c r="G61" s="88">
        <v>0</v>
      </c>
    </row>
    <row r="62" spans="1:7">
      <c r="A62" s="87" t="s">
        <v>94</v>
      </c>
      <c r="B62" s="20" t="s">
        <v>334</v>
      </c>
      <c r="C62" s="92">
        <f t="shared" si="7"/>
        <v>50000</v>
      </c>
      <c r="D62" s="88">
        <v>0</v>
      </c>
      <c r="E62" s="88">
        <v>50000</v>
      </c>
      <c r="F62" s="88">
        <v>0</v>
      </c>
      <c r="G62" s="88">
        <v>0</v>
      </c>
    </row>
    <row r="63" spans="1:7">
      <c r="A63" s="87" t="s">
        <v>151</v>
      </c>
      <c r="B63" s="20" t="s">
        <v>335</v>
      </c>
      <c r="C63" s="92">
        <f t="shared" si="7"/>
        <v>0</v>
      </c>
      <c r="D63" s="88">
        <v>0</v>
      </c>
      <c r="E63" s="88">
        <v>0</v>
      </c>
      <c r="F63" s="88">
        <v>0</v>
      </c>
      <c r="G63" s="88">
        <v>0</v>
      </c>
    </row>
    <row r="64" spans="1:7">
      <c r="A64" s="87" t="s">
        <v>153</v>
      </c>
      <c r="B64" s="20" t="s">
        <v>336</v>
      </c>
      <c r="C64" s="92">
        <f t="shared" si="7"/>
        <v>0</v>
      </c>
      <c r="D64" s="88">
        <v>0</v>
      </c>
      <c r="E64" s="88">
        <v>0</v>
      </c>
      <c r="F64" s="88">
        <v>0</v>
      </c>
      <c r="G64" s="88">
        <v>0</v>
      </c>
    </row>
    <row r="65" spans="1:7">
      <c r="A65" s="87" t="s">
        <v>155</v>
      </c>
      <c r="B65" s="20" t="s">
        <v>337</v>
      </c>
      <c r="C65" s="92">
        <f t="shared" si="7"/>
        <v>0</v>
      </c>
      <c r="D65" s="88">
        <v>0</v>
      </c>
      <c r="E65" s="88">
        <v>0</v>
      </c>
      <c r="F65" s="88">
        <v>0</v>
      </c>
      <c r="G65" s="88">
        <v>0</v>
      </c>
    </row>
    <row r="66" spans="1:7" s="7" customFormat="1">
      <c r="A66" s="87" t="s">
        <v>157</v>
      </c>
      <c r="B66" s="20" t="s">
        <v>338</v>
      </c>
      <c r="C66" s="92">
        <f t="shared" si="7"/>
        <v>181090</v>
      </c>
      <c r="D66" s="88">
        <v>130980</v>
      </c>
      <c r="E66" s="88">
        <v>50110</v>
      </c>
      <c r="F66" s="88">
        <v>0</v>
      </c>
      <c r="G66" s="88">
        <v>0</v>
      </c>
    </row>
    <row r="67" spans="1:7" s="10" customFormat="1">
      <c r="A67" s="87" t="s">
        <v>159</v>
      </c>
      <c r="B67" s="20" t="s">
        <v>339</v>
      </c>
      <c r="C67" s="92">
        <f t="shared" si="7"/>
        <v>0</v>
      </c>
      <c r="D67" s="88">
        <v>0</v>
      </c>
      <c r="E67" s="88">
        <v>0</v>
      </c>
      <c r="F67" s="88">
        <v>0</v>
      </c>
      <c r="G67" s="88">
        <v>0</v>
      </c>
    </row>
    <row r="68" spans="1:7" s="10" customFormat="1">
      <c r="A68" s="87" t="s">
        <v>305</v>
      </c>
      <c r="B68" s="20" t="s">
        <v>340</v>
      </c>
      <c r="C68" s="92">
        <f t="shared" si="7"/>
        <v>0</v>
      </c>
      <c r="D68" s="88">
        <v>0</v>
      </c>
      <c r="E68" s="88">
        <v>0</v>
      </c>
      <c r="F68" s="88">
        <v>0</v>
      </c>
      <c r="G68" s="88">
        <v>0</v>
      </c>
    </row>
    <row r="69" spans="1:7" s="10" customFormat="1">
      <c r="A69" s="87" t="s">
        <v>129</v>
      </c>
      <c r="B69" s="20" t="s">
        <v>341</v>
      </c>
      <c r="C69" s="92">
        <f t="shared" si="7"/>
        <v>140940</v>
      </c>
      <c r="D69" s="88">
        <v>40940</v>
      </c>
      <c r="E69" s="88">
        <v>100000</v>
      </c>
      <c r="F69" s="88">
        <v>0</v>
      </c>
      <c r="G69" s="88">
        <v>0</v>
      </c>
    </row>
    <row r="70" spans="1:7" s="10" customFormat="1">
      <c r="A70" s="87" t="s">
        <v>306</v>
      </c>
      <c r="B70" s="20" t="s">
        <v>342</v>
      </c>
      <c r="C70" s="92">
        <f t="shared" si="7"/>
        <v>425840</v>
      </c>
      <c r="D70" s="88">
        <v>425840</v>
      </c>
      <c r="E70" s="88">
        <v>0</v>
      </c>
      <c r="F70" s="88">
        <v>0</v>
      </c>
      <c r="G70" s="88">
        <v>0</v>
      </c>
    </row>
    <row r="71" spans="1:7" s="10" customFormat="1">
      <c r="A71" s="87" t="s">
        <v>216</v>
      </c>
      <c r="B71" s="20" t="s">
        <v>343</v>
      </c>
      <c r="C71" s="92">
        <f t="shared" si="7"/>
        <v>0</v>
      </c>
      <c r="D71" s="88">
        <v>0</v>
      </c>
      <c r="E71" s="88">
        <v>0</v>
      </c>
      <c r="F71" s="88">
        <v>0</v>
      </c>
      <c r="G71" s="88">
        <v>0</v>
      </c>
    </row>
    <row r="72" spans="1:7" s="10" customFormat="1">
      <c r="A72" s="87" t="s">
        <v>347</v>
      </c>
      <c r="B72" s="20" t="s">
        <v>344</v>
      </c>
      <c r="C72" s="92">
        <f t="shared" si="7"/>
        <v>62000</v>
      </c>
      <c r="D72" s="88">
        <v>0</v>
      </c>
      <c r="E72" s="88">
        <v>62000</v>
      </c>
      <c r="F72" s="88">
        <v>0</v>
      </c>
      <c r="G72" s="88">
        <v>0</v>
      </c>
    </row>
    <row r="73" spans="1:7" s="10" customFormat="1">
      <c r="A73" s="87" t="s">
        <v>218</v>
      </c>
      <c r="B73" s="20" t="s">
        <v>345</v>
      </c>
      <c r="C73" s="92">
        <f t="shared" si="7"/>
        <v>25320</v>
      </c>
      <c r="D73" s="88">
        <v>5320</v>
      </c>
      <c r="E73" s="88">
        <v>20000</v>
      </c>
      <c r="F73" s="88">
        <v>0</v>
      </c>
      <c r="G73" s="88">
        <v>0</v>
      </c>
    </row>
    <row r="74" spans="1:7">
      <c r="A74" s="87" t="s">
        <v>348</v>
      </c>
      <c r="B74" s="20" t="s">
        <v>346</v>
      </c>
      <c r="C74" s="92">
        <f t="shared" si="7"/>
        <v>656930</v>
      </c>
      <c r="D74" s="88">
        <v>656930</v>
      </c>
      <c r="E74" s="88">
        <v>0</v>
      </c>
      <c r="F74" s="88">
        <v>0</v>
      </c>
      <c r="G74" s="88">
        <v>0</v>
      </c>
    </row>
    <row r="75" spans="1:7" s="7" customFormat="1">
      <c r="A75" s="67"/>
      <c r="B75" s="89" t="s">
        <v>300</v>
      </c>
      <c r="C75" s="72">
        <f>SUM(C53:C74)</f>
        <v>2772210</v>
      </c>
      <c r="D75" s="72">
        <f t="shared" ref="D75:E75" si="8">SUM(D53:D74)</f>
        <v>2429100</v>
      </c>
      <c r="E75" s="72">
        <f t="shared" si="8"/>
        <v>343110</v>
      </c>
      <c r="F75" s="72">
        <f t="shared" ref="F75:G75" si="9">SUM(F53:F74)</f>
        <v>0</v>
      </c>
      <c r="G75" s="72">
        <f t="shared" si="9"/>
        <v>0</v>
      </c>
    </row>
    <row r="77" spans="1:7" s="9" customFormat="1" ht="12">
      <c r="A77" s="71" t="s">
        <v>69</v>
      </c>
      <c r="B77" s="71" t="s">
        <v>349</v>
      </c>
      <c r="C77" s="71" t="s">
        <v>239</v>
      </c>
      <c r="D77" s="71" t="s">
        <v>425</v>
      </c>
      <c r="E77" s="71" t="s">
        <v>766</v>
      </c>
      <c r="F77" s="71"/>
      <c r="G77" s="71"/>
    </row>
    <row r="78" spans="1:7" s="80" customFormat="1">
      <c r="A78" s="93" t="s">
        <v>350</v>
      </c>
      <c r="D78" s="80">
        <v>761</v>
      </c>
      <c r="E78" s="80">
        <v>781</v>
      </c>
    </row>
    <row r="79" spans="1:7" s="83" customFormat="1">
      <c r="A79" s="87" t="s">
        <v>74</v>
      </c>
      <c r="B79" s="20" t="s">
        <v>351</v>
      </c>
      <c r="C79" s="92">
        <f t="shared" ref="C79:C89" si="10">SUM(D79:E79)</f>
        <v>11810</v>
      </c>
      <c r="D79" s="88">
        <v>11810</v>
      </c>
      <c r="E79" s="88">
        <v>0</v>
      </c>
      <c r="F79" s="88">
        <v>0</v>
      </c>
      <c r="G79" s="88">
        <v>0</v>
      </c>
    </row>
    <row r="80" spans="1:7">
      <c r="A80" s="87" t="s">
        <v>76</v>
      </c>
      <c r="B80" s="20" t="s">
        <v>352</v>
      </c>
      <c r="C80" s="92">
        <f t="shared" si="10"/>
        <v>0</v>
      </c>
      <c r="D80" s="88">
        <v>0</v>
      </c>
      <c r="E80" s="88">
        <v>0</v>
      </c>
      <c r="F80" s="88">
        <v>0</v>
      </c>
      <c r="G80" s="88">
        <v>0</v>
      </c>
    </row>
    <row r="81" spans="1:7" s="20" customFormat="1">
      <c r="A81" s="87" t="s">
        <v>77</v>
      </c>
      <c r="B81" s="20" t="s">
        <v>353</v>
      </c>
      <c r="C81" s="92">
        <f t="shared" si="10"/>
        <v>250000</v>
      </c>
      <c r="D81" s="88">
        <v>250000</v>
      </c>
      <c r="E81" s="88">
        <v>0</v>
      </c>
      <c r="F81" s="88">
        <v>0</v>
      </c>
      <c r="G81" s="88">
        <v>0</v>
      </c>
    </row>
    <row r="82" spans="1:7" s="20" customFormat="1">
      <c r="A82" s="87" t="s">
        <v>78</v>
      </c>
      <c r="B82" s="20" t="s">
        <v>354</v>
      </c>
      <c r="C82" s="92">
        <f t="shared" si="10"/>
        <v>22200</v>
      </c>
      <c r="D82" s="88">
        <v>22200</v>
      </c>
      <c r="E82" s="88">
        <v>0</v>
      </c>
      <c r="F82" s="88">
        <v>0</v>
      </c>
      <c r="G82" s="88">
        <v>0</v>
      </c>
    </row>
    <row r="83" spans="1:7">
      <c r="A83" s="87" t="s">
        <v>79</v>
      </c>
      <c r="B83" s="20" t="s">
        <v>355</v>
      </c>
      <c r="C83" s="92">
        <f t="shared" si="10"/>
        <v>0</v>
      </c>
      <c r="D83" s="88">
        <v>0</v>
      </c>
      <c r="E83" s="88">
        <v>0</v>
      </c>
      <c r="F83" s="88">
        <v>0</v>
      </c>
      <c r="G83" s="88">
        <v>0</v>
      </c>
    </row>
    <row r="84" spans="1:7">
      <c r="A84" s="87" t="s">
        <v>80</v>
      </c>
      <c r="B84" s="20" t="s">
        <v>356</v>
      </c>
      <c r="C84" s="92">
        <f t="shared" si="10"/>
        <v>172370</v>
      </c>
      <c r="D84" s="88">
        <v>172370</v>
      </c>
      <c r="E84" s="88">
        <v>0</v>
      </c>
      <c r="F84" s="88">
        <v>0</v>
      </c>
      <c r="G84" s="88">
        <v>0</v>
      </c>
    </row>
    <row r="85" spans="1:7">
      <c r="A85" s="87" t="s">
        <v>81</v>
      </c>
      <c r="B85" s="20" t="s">
        <v>357</v>
      </c>
      <c r="C85" s="92">
        <f t="shared" si="10"/>
        <v>0</v>
      </c>
      <c r="D85" s="88">
        <v>0</v>
      </c>
      <c r="E85" s="88">
        <v>0</v>
      </c>
      <c r="F85" s="88">
        <v>0</v>
      </c>
      <c r="G85" s="88">
        <v>0</v>
      </c>
    </row>
    <row r="86" spans="1:7">
      <c r="A86" s="87" t="s">
        <v>82</v>
      </c>
      <c r="B86" s="20" t="s">
        <v>358</v>
      </c>
      <c r="C86" s="92">
        <f t="shared" si="10"/>
        <v>23940</v>
      </c>
      <c r="D86" s="88">
        <v>23940</v>
      </c>
      <c r="E86" s="88">
        <v>0</v>
      </c>
      <c r="F86" s="88">
        <v>0</v>
      </c>
      <c r="G86" s="88">
        <v>0</v>
      </c>
    </row>
    <row r="87" spans="1:7">
      <c r="A87" s="87" t="s">
        <v>93</v>
      </c>
      <c r="B87" s="20" t="s">
        <v>359</v>
      </c>
      <c r="C87" s="92">
        <f t="shared" si="10"/>
        <v>0</v>
      </c>
      <c r="D87" s="88">
        <v>0</v>
      </c>
      <c r="E87" s="88">
        <v>0</v>
      </c>
      <c r="F87" s="88">
        <v>0</v>
      </c>
      <c r="G87" s="88">
        <v>0</v>
      </c>
    </row>
    <row r="88" spans="1:7">
      <c r="A88" s="87" t="s">
        <v>94</v>
      </c>
      <c r="B88" s="20" t="s">
        <v>360</v>
      </c>
      <c r="C88" s="92">
        <f t="shared" si="10"/>
        <v>381520</v>
      </c>
      <c r="D88" s="88">
        <v>381520</v>
      </c>
      <c r="E88" s="88">
        <v>0</v>
      </c>
      <c r="F88" s="88">
        <v>0</v>
      </c>
      <c r="G88" s="88">
        <v>0</v>
      </c>
    </row>
    <row r="89" spans="1:7">
      <c r="A89" s="87" t="s">
        <v>362</v>
      </c>
      <c r="B89" s="20" t="s">
        <v>361</v>
      </c>
      <c r="C89" s="92">
        <f t="shared" si="10"/>
        <v>0</v>
      </c>
      <c r="D89" s="88">
        <v>0</v>
      </c>
      <c r="E89" s="88">
        <v>0</v>
      </c>
      <c r="F89" s="88">
        <v>0</v>
      </c>
      <c r="G89" s="88">
        <v>0</v>
      </c>
    </row>
    <row r="90" spans="1:7" s="7" customFormat="1">
      <c r="A90" s="67"/>
      <c r="B90" s="89" t="s">
        <v>300</v>
      </c>
      <c r="C90" s="72">
        <f>SUM(C79:C89)</f>
        <v>861840</v>
      </c>
      <c r="D90" s="72">
        <f t="shared" ref="D90:E90" si="11">SUM(D79:D89)</f>
        <v>861840</v>
      </c>
      <c r="E90" s="72">
        <f t="shared" si="11"/>
        <v>0</v>
      </c>
      <c r="F90" s="72">
        <f t="shared" ref="F90:G90" si="12">SUM(F79:F89)</f>
        <v>0</v>
      </c>
      <c r="G90" s="72">
        <f t="shared" si="12"/>
        <v>0</v>
      </c>
    </row>
    <row r="92" spans="1:7" s="9" customFormat="1" ht="12">
      <c r="A92" s="71" t="s">
        <v>69</v>
      </c>
      <c r="B92" s="71" t="s">
        <v>375</v>
      </c>
      <c r="C92" s="71" t="s">
        <v>239</v>
      </c>
      <c r="D92" s="71" t="s">
        <v>425</v>
      </c>
      <c r="E92" s="71" t="s">
        <v>766</v>
      </c>
      <c r="F92" s="71"/>
      <c r="G92" s="71"/>
    </row>
    <row r="93" spans="1:7" s="80" customFormat="1">
      <c r="A93" s="9"/>
      <c r="D93" s="80">
        <v>761</v>
      </c>
      <c r="E93" s="80">
        <v>781</v>
      </c>
    </row>
    <row r="94" spans="1:7" s="10" customFormat="1">
      <c r="A94" s="90" t="s">
        <v>366</v>
      </c>
      <c r="B94" s="91" t="s">
        <v>364</v>
      </c>
      <c r="C94" s="92">
        <f t="shared" ref="C94:C106" si="13">SUM(D94:E94)</f>
        <v>0</v>
      </c>
      <c r="D94" s="92">
        <f>+D95</f>
        <v>0</v>
      </c>
      <c r="E94" s="92"/>
      <c r="F94" s="92"/>
      <c r="G94" s="92"/>
    </row>
    <row r="95" spans="1:7">
      <c r="A95" s="87" t="s">
        <v>363</v>
      </c>
      <c r="B95" s="20" t="s">
        <v>365</v>
      </c>
      <c r="C95" s="84">
        <f t="shared" si="13"/>
        <v>0</v>
      </c>
      <c r="D95" s="88">
        <v>0</v>
      </c>
      <c r="E95" s="88">
        <v>0</v>
      </c>
      <c r="F95" s="88">
        <v>0</v>
      </c>
      <c r="G95" s="88">
        <v>0</v>
      </c>
    </row>
    <row r="96" spans="1:7" s="10" customFormat="1">
      <c r="A96" s="90" t="s">
        <v>367</v>
      </c>
      <c r="B96" s="91" t="s">
        <v>369</v>
      </c>
      <c r="C96" s="84">
        <f t="shared" si="13"/>
        <v>0</v>
      </c>
      <c r="D96" s="92">
        <f>+D97</f>
        <v>0</v>
      </c>
      <c r="E96" s="92"/>
      <c r="F96" s="92"/>
      <c r="G96" s="92"/>
    </row>
    <row r="97" spans="1:7">
      <c r="A97" s="87" t="s">
        <v>368</v>
      </c>
      <c r="B97" s="20" t="s">
        <v>370</v>
      </c>
      <c r="C97" s="84">
        <f t="shared" si="13"/>
        <v>0</v>
      </c>
      <c r="D97" s="88">
        <v>0</v>
      </c>
      <c r="E97" s="88">
        <v>0</v>
      </c>
      <c r="F97" s="88">
        <v>0</v>
      </c>
      <c r="G97" s="88">
        <v>0</v>
      </c>
    </row>
    <row r="98" spans="1:7" s="10" customFormat="1">
      <c r="A98" s="90" t="s">
        <v>386</v>
      </c>
      <c r="B98" s="91" t="s">
        <v>387</v>
      </c>
      <c r="C98" s="84">
        <f t="shared" si="13"/>
        <v>0</v>
      </c>
      <c r="D98" s="92">
        <f>+D99</f>
        <v>0</v>
      </c>
      <c r="E98" s="92"/>
      <c r="F98" s="92"/>
      <c r="G98" s="92"/>
    </row>
    <row r="99" spans="1:7">
      <c r="A99" s="87" t="s">
        <v>386</v>
      </c>
      <c r="B99" s="20" t="s">
        <v>388</v>
      </c>
      <c r="C99" s="84">
        <f t="shared" si="13"/>
        <v>0</v>
      </c>
      <c r="D99" s="88">
        <v>0</v>
      </c>
      <c r="E99" s="88">
        <v>0</v>
      </c>
      <c r="F99" s="88">
        <v>0</v>
      </c>
      <c r="G99" s="88">
        <v>0</v>
      </c>
    </row>
    <row r="100" spans="1:7" s="10" customFormat="1">
      <c r="A100" s="90" t="s">
        <v>371</v>
      </c>
      <c r="B100" s="91" t="s">
        <v>372</v>
      </c>
      <c r="C100" s="84">
        <f t="shared" si="13"/>
        <v>0</v>
      </c>
      <c r="D100" s="92">
        <f>+D101</f>
        <v>0</v>
      </c>
      <c r="E100" s="92"/>
      <c r="F100" s="92"/>
      <c r="G100" s="92"/>
    </row>
    <row r="101" spans="1:7">
      <c r="A101" s="87" t="s">
        <v>374</v>
      </c>
      <c r="B101" s="20" t="s">
        <v>373</v>
      </c>
      <c r="C101" s="84">
        <f t="shared" si="13"/>
        <v>0</v>
      </c>
      <c r="D101" s="88">
        <v>0</v>
      </c>
      <c r="E101" s="88">
        <v>0</v>
      </c>
      <c r="F101" s="88">
        <v>0</v>
      </c>
      <c r="G101" s="88">
        <v>0</v>
      </c>
    </row>
    <row r="102" spans="1:7" s="10" customFormat="1">
      <c r="A102" s="90" t="s">
        <v>376</v>
      </c>
      <c r="B102" s="91" t="s">
        <v>377</v>
      </c>
      <c r="C102" s="84">
        <f t="shared" si="13"/>
        <v>0</v>
      </c>
      <c r="D102" s="92">
        <f>+D103</f>
        <v>0</v>
      </c>
      <c r="E102" s="92"/>
      <c r="F102" s="92"/>
      <c r="G102" s="92"/>
    </row>
    <row r="103" spans="1:7">
      <c r="A103" s="87" t="s">
        <v>378</v>
      </c>
      <c r="B103" s="20" t="s">
        <v>379</v>
      </c>
      <c r="C103" s="84">
        <f t="shared" si="13"/>
        <v>0</v>
      </c>
      <c r="D103" s="88">
        <v>0</v>
      </c>
      <c r="E103" s="88">
        <v>0</v>
      </c>
      <c r="F103" s="88">
        <v>0</v>
      </c>
      <c r="G103" s="88">
        <v>0</v>
      </c>
    </row>
    <row r="104" spans="1:7" s="10" customFormat="1">
      <c r="A104" s="90" t="s">
        <v>380</v>
      </c>
      <c r="B104" s="91" t="s">
        <v>381</v>
      </c>
      <c r="C104" s="84">
        <f t="shared" si="13"/>
        <v>0</v>
      </c>
      <c r="D104" s="92">
        <f>SUM(D105:D106)</f>
        <v>0</v>
      </c>
      <c r="E104" s="92"/>
      <c r="F104" s="92"/>
      <c r="G104" s="92"/>
    </row>
    <row r="105" spans="1:7">
      <c r="A105" s="87" t="s">
        <v>382</v>
      </c>
      <c r="B105" s="20" t="s">
        <v>384</v>
      </c>
      <c r="C105" s="84">
        <f t="shared" si="13"/>
        <v>0</v>
      </c>
      <c r="D105" s="88">
        <v>0</v>
      </c>
      <c r="E105" s="88">
        <v>0</v>
      </c>
      <c r="F105" s="88">
        <v>0</v>
      </c>
      <c r="G105" s="88">
        <v>0</v>
      </c>
    </row>
    <row r="106" spans="1:7">
      <c r="A106" s="87" t="s">
        <v>383</v>
      </c>
      <c r="B106" s="20" t="s">
        <v>385</v>
      </c>
      <c r="C106" s="84">
        <f t="shared" si="13"/>
        <v>0</v>
      </c>
      <c r="D106" s="88">
        <v>0</v>
      </c>
      <c r="E106" s="88">
        <v>0</v>
      </c>
      <c r="F106" s="88">
        <v>0</v>
      </c>
      <c r="G106" s="88">
        <v>0</v>
      </c>
    </row>
    <row r="107" spans="1:7" s="7" customFormat="1">
      <c r="A107" s="67"/>
      <c r="B107" s="89" t="s">
        <v>300</v>
      </c>
      <c r="C107" s="72">
        <f>+C94+C96+C98+C100+C102+C104</f>
        <v>0</v>
      </c>
      <c r="D107" s="72">
        <f>+D94+D96+D98+D100+D102+D104</f>
        <v>0</v>
      </c>
      <c r="E107" s="72"/>
      <c r="F107" s="72"/>
      <c r="G107" s="72"/>
    </row>
    <row r="108" spans="1:7">
      <c r="A108" s="67"/>
      <c r="B108" s="89" t="s">
        <v>393</v>
      </c>
      <c r="C108" s="72">
        <f>+C28+C49+C75+C90+C107</f>
        <v>8056750</v>
      </c>
      <c r="D108" s="72">
        <f t="shared" ref="D108:E108" si="14">+D28+D49+D75+D90+D107</f>
        <v>7251000</v>
      </c>
      <c r="E108" s="72">
        <f t="shared" si="14"/>
        <v>348110</v>
      </c>
      <c r="F108" s="72">
        <f t="shared" ref="F108:G108" si="15">+F28+F49+F75+F90+F107</f>
        <v>384360</v>
      </c>
      <c r="G108" s="72">
        <f t="shared" si="15"/>
        <v>73280</v>
      </c>
    </row>
  </sheetData>
  <mergeCells count="5">
    <mergeCell ref="B8:E8"/>
    <mergeCell ref="B9:E9"/>
    <mergeCell ref="A10:G10"/>
    <mergeCell ref="D11:E11"/>
    <mergeCell ref="F11:G11"/>
  </mergeCells>
  <pageMargins left="0.98" right="0" top="0.74803149606299213" bottom="0.74803149606299213" header="0.31496062992125984" footer="0.31496062992125984"/>
  <pageSetup paperSize="9" scale="77" orientation="portrait" r:id="rId1"/>
  <rowBreaks count="2" manualBreakCount="2">
    <brk id="49" max="16383" man="1"/>
    <brk id="90" max="16383" man="1"/>
  </rowBreaks>
  <drawing r:id="rId2"/>
</worksheet>
</file>

<file path=xl/worksheets/sheet22.xml><?xml version="1.0" encoding="utf-8"?>
<worksheet xmlns="http://schemas.openxmlformats.org/spreadsheetml/2006/main" xmlns:r="http://schemas.openxmlformats.org/officeDocument/2006/relationships">
  <dimension ref="A1:E31"/>
  <sheetViews>
    <sheetView workbookViewId="0">
      <selection activeCell="C42" sqref="C42"/>
    </sheetView>
  </sheetViews>
  <sheetFormatPr baseColWidth="10" defaultRowHeight="15"/>
  <cols>
    <col min="1" max="1" width="32.5703125" customWidth="1"/>
    <col min="2" max="2" width="18.28515625" bestFit="1" customWidth="1"/>
    <col min="3" max="3" width="17.7109375" bestFit="1" customWidth="1"/>
    <col min="4" max="4" width="17.28515625" bestFit="1" customWidth="1"/>
  </cols>
  <sheetData>
    <row r="1" spans="1:5" s="1" customFormat="1">
      <c r="A1"/>
    </row>
    <row r="2" spans="1:5" s="1" customFormat="1" ht="12.75"/>
    <row r="3" spans="1:5" s="1" customFormat="1" ht="12.75"/>
    <row r="4" spans="1:5" s="1" customFormat="1" ht="12.75"/>
    <row r="5" spans="1:5" s="1" customFormat="1" ht="13.5" thickBot="1">
      <c r="A5" s="6"/>
      <c r="B5" s="6"/>
      <c r="C5" s="6"/>
      <c r="D5" s="6"/>
    </row>
    <row r="6" spans="1:5" ht="15.75" thickTop="1"/>
    <row r="7" spans="1:5" s="20" customFormat="1" ht="12.75">
      <c r="A7" s="20" t="s">
        <v>867</v>
      </c>
    </row>
    <row r="8" spans="1:5">
      <c r="A8" s="390" t="s">
        <v>747</v>
      </c>
      <c r="B8" s="390"/>
      <c r="C8" s="390"/>
      <c r="D8" s="390"/>
    </row>
    <row r="9" spans="1:5">
      <c r="A9" s="390" t="s">
        <v>238</v>
      </c>
      <c r="B9" s="390"/>
      <c r="C9" s="390"/>
      <c r="D9" s="390"/>
    </row>
    <row r="10" spans="1:5">
      <c r="A10" s="396" t="s">
        <v>427</v>
      </c>
      <c r="B10" s="396"/>
      <c r="C10" s="396"/>
      <c r="D10" s="396"/>
      <c r="E10" s="248"/>
    </row>
    <row r="12" spans="1:5" s="9" customFormat="1" ht="12">
      <c r="A12" s="71" t="s">
        <v>3</v>
      </c>
      <c r="B12" s="71" t="s">
        <v>239</v>
      </c>
      <c r="C12" s="71" t="s">
        <v>428</v>
      </c>
      <c r="D12" s="71" t="s">
        <v>244</v>
      </c>
    </row>
    <row r="13" spans="1:5">
      <c r="B13" s="80"/>
      <c r="C13" s="80">
        <v>611</v>
      </c>
      <c r="D13" s="80">
        <v>811</v>
      </c>
    </row>
    <row r="14" spans="1:5" s="7" customFormat="1">
      <c r="A14" s="67" t="s">
        <v>245</v>
      </c>
      <c r="B14" s="72">
        <f>+B15+B21+B22</f>
        <v>28054160</v>
      </c>
      <c r="C14" s="72">
        <f>+C15+C21+C22</f>
        <v>20490170</v>
      </c>
      <c r="D14" s="72">
        <f>+D15+D21+D22</f>
        <v>7563990</v>
      </c>
    </row>
    <row r="15" spans="1:5" s="83" customFormat="1">
      <c r="A15" s="10" t="s">
        <v>281</v>
      </c>
      <c r="B15" s="81">
        <f>+B16+B19+B20</f>
        <v>27608460</v>
      </c>
      <c r="C15" s="82">
        <f>+C16+C19+C20</f>
        <v>20044470</v>
      </c>
      <c r="D15" s="82">
        <f>+D16+D19+D20</f>
        <v>7563990</v>
      </c>
    </row>
    <row r="16" spans="1:5">
      <c r="A16" s="7" t="s">
        <v>246</v>
      </c>
      <c r="B16" s="70">
        <f>+B17+B18</f>
        <v>26082200</v>
      </c>
      <c r="C16" s="76">
        <f>+C17+C18</f>
        <v>18711770</v>
      </c>
      <c r="D16" s="76">
        <f>+D17+D18</f>
        <v>7370430</v>
      </c>
    </row>
    <row r="17" spans="1:4" s="20" customFormat="1" ht="12.75">
      <c r="A17" s="20" t="s">
        <v>279</v>
      </c>
      <c r="B17" s="84">
        <f t="shared" ref="B17:B22" si="0">SUM(C17:D17)</f>
        <v>22068080</v>
      </c>
      <c r="C17" s="85">
        <f>+'OJURIS B'!E28</f>
        <v>14697650</v>
      </c>
      <c r="D17" s="85">
        <f>+'OJURIS B'!F28</f>
        <v>7370430</v>
      </c>
    </row>
    <row r="18" spans="1:4" s="20" customFormat="1" ht="12.75">
      <c r="A18" s="20" t="s">
        <v>280</v>
      </c>
      <c r="B18" s="84">
        <f t="shared" si="0"/>
        <v>4014120</v>
      </c>
      <c r="C18" s="85">
        <f>+'OJURIS B'!E46</f>
        <v>4014120</v>
      </c>
      <c r="D18" s="85">
        <f>+'OJURIS B'!F46</f>
        <v>0</v>
      </c>
    </row>
    <row r="19" spans="1:4">
      <c r="A19" s="7" t="s">
        <v>247</v>
      </c>
      <c r="B19" s="70">
        <f t="shared" si="0"/>
        <v>417510</v>
      </c>
      <c r="C19" s="76">
        <f>+'OJURIS B'!E66</f>
        <v>364530</v>
      </c>
      <c r="D19" s="76">
        <f>+'OJURIS B'!F66</f>
        <v>52980</v>
      </c>
    </row>
    <row r="20" spans="1:4">
      <c r="A20" s="7" t="s">
        <v>248</v>
      </c>
      <c r="B20" s="70">
        <f t="shared" si="0"/>
        <v>1108750</v>
      </c>
      <c r="C20" s="76">
        <f>+'OJURIS B'!E92</f>
        <v>968170</v>
      </c>
      <c r="D20" s="76">
        <f>+'OJURIS B'!F92</f>
        <v>140580</v>
      </c>
    </row>
    <row r="21" spans="1:4">
      <c r="A21" s="7" t="s">
        <v>249</v>
      </c>
      <c r="B21" s="70">
        <f t="shared" si="0"/>
        <v>0</v>
      </c>
      <c r="C21" s="76">
        <f>+'OJURIS B'!E111</f>
        <v>0</v>
      </c>
      <c r="D21" s="76">
        <f>+'OJURIS B'!F111</f>
        <v>0</v>
      </c>
    </row>
    <row r="22" spans="1:4">
      <c r="A22" s="7" t="s">
        <v>250</v>
      </c>
      <c r="B22" s="70">
        <f t="shared" si="0"/>
        <v>445700</v>
      </c>
      <c r="C22" s="76">
        <f>+'OJURIS B'!E114</f>
        <v>445700</v>
      </c>
      <c r="D22" s="76">
        <f>+'OJURIS B'!F113</f>
        <v>0</v>
      </c>
    </row>
    <row r="23" spans="1:4" s="7" customFormat="1">
      <c r="A23" s="67" t="s">
        <v>251</v>
      </c>
      <c r="B23" s="72">
        <f>+B24+B27+B28</f>
        <v>722440</v>
      </c>
      <c r="C23" s="72">
        <v>704400</v>
      </c>
      <c r="D23" s="72">
        <f>+D24+D27+D28</f>
        <v>18040</v>
      </c>
    </row>
    <row r="24" spans="1:4" s="10" customFormat="1">
      <c r="A24" s="10" t="s">
        <v>282</v>
      </c>
      <c r="B24" s="70">
        <f>+B25+B26</f>
        <v>722440</v>
      </c>
      <c r="C24" s="82">
        <f>+C25+C26</f>
        <v>704400</v>
      </c>
      <c r="D24" s="82">
        <f>+D25+D26</f>
        <v>18040</v>
      </c>
    </row>
    <row r="25" spans="1:4">
      <c r="A25" s="7" t="s">
        <v>252</v>
      </c>
      <c r="B25" s="70">
        <f>SUM(C25:D25)</f>
        <v>722440</v>
      </c>
      <c r="C25" s="76">
        <f>+'OJURIS B'!E107</f>
        <v>704400</v>
      </c>
      <c r="D25" s="76">
        <f>+'OJURIS B'!F107</f>
        <v>18040</v>
      </c>
    </row>
    <row r="26" spans="1:4">
      <c r="A26" s="7" t="s">
        <v>253</v>
      </c>
      <c r="B26" s="70">
        <f>SUM(C26:D26)</f>
        <v>0</v>
      </c>
      <c r="C26" s="76">
        <f>+'OJURIS B'!E115</f>
        <v>0</v>
      </c>
      <c r="D26" s="76">
        <f>+'OJURIS B'!F115</f>
        <v>0</v>
      </c>
    </row>
    <row r="27" spans="1:4">
      <c r="A27" s="7" t="s">
        <v>254</v>
      </c>
      <c r="B27" s="70">
        <f>SUM(C27:D27)</f>
        <v>0</v>
      </c>
      <c r="C27" s="76">
        <f>+'OJURIS B'!E117</f>
        <v>0</v>
      </c>
      <c r="D27" s="76">
        <f>+'OJURIS B'!F117</f>
        <v>0</v>
      </c>
    </row>
    <row r="28" spans="1:4">
      <c r="A28" s="7" t="s">
        <v>255</v>
      </c>
      <c r="B28" s="70">
        <f>SUM(C28:D28)</f>
        <v>0</v>
      </c>
      <c r="C28" s="76">
        <f>+'OJURIS B'!E119</f>
        <v>0</v>
      </c>
      <c r="D28" s="76">
        <f>+'OJURIS B'!F119</f>
        <v>0</v>
      </c>
    </row>
    <row r="29" spans="1:4" s="7" customFormat="1">
      <c r="A29" s="67" t="s">
        <v>45</v>
      </c>
      <c r="B29" s="72">
        <f>+B30</f>
        <v>0</v>
      </c>
      <c r="C29" s="72">
        <f>+C30</f>
        <v>0</v>
      </c>
      <c r="D29" s="72">
        <f>+D30</f>
        <v>0</v>
      </c>
    </row>
    <row r="30" spans="1:4">
      <c r="A30" t="s">
        <v>256</v>
      </c>
      <c r="B30" s="70">
        <f>SUM(C30:D30)</f>
        <v>0</v>
      </c>
      <c r="C30" s="76">
        <f>+'OJURIS B'!E121</f>
        <v>0</v>
      </c>
      <c r="D30" s="76">
        <f>+'OJURIS B'!F121</f>
        <v>0</v>
      </c>
    </row>
    <row r="31" spans="1:4" s="7" customFormat="1">
      <c r="A31" s="69" t="s">
        <v>48</v>
      </c>
      <c r="B31" s="72">
        <f>+B14+B23+B29</f>
        <v>28776600</v>
      </c>
      <c r="C31" s="72">
        <f>+C14+C23+C29</f>
        <v>21194570</v>
      </c>
      <c r="D31" s="72">
        <f>+D14+D23+D29</f>
        <v>7582030</v>
      </c>
    </row>
  </sheetData>
  <mergeCells count="3">
    <mergeCell ref="A8:D8"/>
    <mergeCell ref="A9:D9"/>
    <mergeCell ref="A10:D10"/>
  </mergeCells>
  <printOptions horizontalCentered="1"/>
  <pageMargins left="0.46456692913385828" right="0.46456692913385828" top="0.74803149606299213" bottom="0.74803149606299213" header="0.31496062992125984" footer="0.31496062992125984"/>
  <pageSetup paperSize="9" scale="84" orientation="portrait" r:id="rId1"/>
  <drawing r:id="rId2"/>
</worksheet>
</file>

<file path=xl/worksheets/sheet23.xml><?xml version="1.0" encoding="utf-8"?>
<worksheet xmlns="http://schemas.openxmlformats.org/spreadsheetml/2006/main" xmlns:r="http://schemas.openxmlformats.org/officeDocument/2006/relationships">
  <dimension ref="B1:G125"/>
  <sheetViews>
    <sheetView workbookViewId="0">
      <selection activeCell="C7" sqref="C7"/>
    </sheetView>
  </sheetViews>
  <sheetFormatPr baseColWidth="10" defaultRowHeight="15"/>
  <cols>
    <col min="1" max="1" width="4" customWidth="1"/>
    <col min="2" max="2" width="6.85546875" bestFit="1" customWidth="1"/>
    <col min="3" max="3" width="37.140625" bestFit="1" customWidth="1"/>
    <col min="4" max="5" width="15.85546875" bestFit="1" customWidth="1"/>
    <col min="6" max="6" width="18.42578125" customWidth="1"/>
  </cols>
  <sheetData>
    <row r="1" spans="2:7" s="1" customFormat="1" ht="15" customHeight="1">
      <c r="B1" s="397"/>
      <c r="C1" s="397"/>
      <c r="D1" s="397"/>
      <c r="E1" s="397"/>
      <c r="F1" s="397"/>
    </row>
    <row r="2" spans="2:7" s="1" customFormat="1" ht="15" customHeight="1">
      <c r="B2" s="397"/>
      <c r="C2" s="397"/>
      <c r="D2" s="397"/>
      <c r="E2" s="397"/>
      <c r="F2" s="397"/>
    </row>
    <row r="3" spans="2:7" s="1" customFormat="1" ht="15" customHeight="1">
      <c r="B3" s="397"/>
      <c r="C3" s="397"/>
      <c r="D3" s="397"/>
      <c r="E3" s="397"/>
      <c r="F3" s="397"/>
    </row>
    <row r="4" spans="2:7" s="1" customFormat="1" ht="15" customHeight="1">
      <c r="B4" s="397"/>
      <c r="C4" s="397"/>
      <c r="D4" s="397"/>
      <c r="E4" s="397"/>
      <c r="F4" s="397"/>
      <c r="G4" s="95"/>
    </row>
    <row r="5" spans="2:7" s="1" customFormat="1" ht="15" customHeight="1" thickBot="1">
      <c r="B5" s="398"/>
      <c r="C5" s="398"/>
      <c r="D5" s="398"/>
      <c r="E5" s="398"/>
      <c r="F5" s="398"/>
    </row>
    <row r="6" spans="2:7" ht="15.75" thickTop="1"/>
    <row r="7" spans="2:7" s="20" customFormat="1" ht="12.75">
      <c r="C7" s="20" t="s">
        <v>867</v>
      </c>
    </row>
    <row r="8" spans="2:7">
      <c r="C8" s="390" t="s">
        <v>747</v>
      </c>
      <c r="D8" s="390"/>
      <c r="E8" s="390"/>
      <c r="F8" s="390"/>
    </row>
    <row r="9" spans="2:7">
      <c r="C9" s="390" t="s">
        <v>238</v>
      </c>
      <c r="D9" s="390"/>
      <c r="E9" s="390"/>
      <c r="F9" s="390"/>
    </row>
    <row r="10" spans="2:7">
      <c r="B10" s="391" t="s">
        <v>427</v>
      </c>
      <c r="C10" s="391"/>
      <c r="D10" s="391"/>
      <c r="E10" s="391"/>
      <c r="F10" s="391"/>
    </row>
    <row r="12" spans="2:7" s="9" customFormat="1" ht="12">
      <c r="B12" s="71" t="s">
        <v>69</v>
      </c>
      <c r="C12" s="71" t="s">
        <v>284</v>
      </c>
      <c r="D12" s="71" t="s">
        <v>239</v>
      </c>
      <c r="E12" s="71" t="s">
        <v>428</v>
      </c>
      <c r="F12" s="71" t="s">
        <v>244</v>
      </c>
    </row>
    <row r="13" spans="2:7">
      <c r="B13" s="93" t="s">
        <v>283</v>
      </c>
      <c r="D13" s="80"/>
      <c r="E13" s="80">
        <v>611</v>
      </c>
      <c r="F13" s="80">
        <v>811</v>
      </c>
    </row>
    <row r="14" spans="2:7" s="83" customFormat="1">
      <c r="B14" s="87" t="s">
        <v>74</v>
      </c>
      <c r="C14" s="20" t="s">
        <v>286</v>
      </c>
      <c r="D14" s="92">
        <f t="shared" ref="D14:D27" si="0">SUM(E14:F14)</f>
        <v>9460660</v>
      </c>
      <c r="E14" s="88">
        <v>6381240</v>
      </c>
      <c r="F14" s="88">
        <v>3079420</v>
      </c>
    </row>
    <row r="15" spans="2:7">
      <c r="B15" s="87" t="s">
        <v>76</v>
      </c>
      <c r="C15" s="20" t="s">
        <v>287</v>
      </c>
      <c r="D15" s="92">
        <f t="shared" si="0"/>
        <v>544210</v>
      </c>
      <c r="E15" s="88">
        <v>301440</v>
      </c>
      <c r="F15" s="88">
        <v>242770</v>
      </c>
    </row>
    <row r="16" spans="2:7" s="20" customFormat="1">
      <c r="B16" s="87" t="s">
        <v>77</v>
      </c>
      <c r="C16" s="20" t="s">
        <v>288</v>
      </c>
      <c r="D16" s="92">
        <f t="shared" si="0"/>
        <v>0</v>
      </c>
      <c r="E16" s="88">
        <v>0</v>
      </c>
      <c r="F16" s="88">
        <v>0</v>
      </c>
    </row>
    <row r="17" spans="2:6" s="20" customFormat="1">
      <c r="B17" s="87" t="s">
        <v>78</v>
      </c>
      <c r="C17" s="20" t="s">
        <v>289</v>
      </c>
      <c r="D17" s="92">
        <f t="shared" si="0"/>
        <v>219170</v>
      </c>
      <c r="E17" s="88">
        <v>0</v>
      </c>
      <c r="F17" s="88">
        <v>219170</v>
      </c>
    </row>
    <row r="18" spans="2:6">
      <c r="B18" s="87" t="s">
        <v>79</v>
      </c>
      <c r="C18" s="20" t="s">
        <v>290</v>
      </c>
      <c r="D18" s="92">
        <f t="shared" si="0"/>
        <v>5737600</v>
      </c>
      <c r="E18" s="88">
        <v>3936700</v>
      </c>
      <c r="F18" s="88">
        <v>1800900</v>
      </c>
    </row>
    <row r="19" spans="2:6">
      <c r="B19" s="87" t="s">
        <v>80</v>
      </c>
      <c r="C19" s="20" t="s">
        <v>291</v>
      </c>
      <c r="D19" s="92">
        <f t="shared" si="0"/>
        <v>0</v>
      </c>
      <c r="E19" s="88">
        <v>0</v>
      </c>
      <c r="F19" s="88">
        <v>0</v>
      </c>
    </row>
    <row r="20" spans="2:6">
      <c r="B20" s="87" t="s">
        <v>81</v>
      </c>
      <c r="C20" s="20" t="s">
        <v>292</v>
      </c>
      <c r="D20" s="92">
        <f t="shared" si="0"/>
        <v>1477850</v>
      </c>
      <c r="E20" s="88">
        <v>989130</v>
      </c>
      <c r="F20" s="88">
        <v>488720</v>
      </c>
    </row>
    <row r="21" spans="2:6">
      <c r="B21" s="87" t="s">
        <v>82</v>
      </c>
      <c r="C21" s="20" t="s">
        <v>293</v>
      </c>
      <c r="D21" s="92">
        <f t="shared" si="0"/>
        <v>152240</v>
      </c>
      <c r="E21" s="88">
        <v>66860</v>
      </c>
      <c r="F21" s="88">
        <v>85380</v>
      </c>
    </row>
    <row r="22" spans="2:6" s="7" customFormat="1">
      <c r="B22" s="87" t="s">
        <v>93</v>
      </c>
      <c r="C22" s="20" t="s">
        <v>294</v>
      </c>
      <c r="D22" s="92">
        <f t="shared" si="0"/>
        <v>266280</v>
      </c>
      <c r="E22" s="88">
        <v>211430</v>
      </c>
      <c r="F22" s="88">
        <v>54850</v>
      </c>
    </row>
    <row r="23" spans="2:6" s="10" customFormat="1">
      <c r="B23" s="87" t="s">
        <v>94</v>
      </c>
      <c r="C23" s="20" t="s">
        <v>295</v>
      </c>
      <c r="D23" s="92">
        <f t="shared" si="0"/>
        <v>147670</v>
      </c>
      <c r="E23" s="88">
        <f>49620+27200</f>
        <v>76820</v>
      </c>
      <c r="F23" s="88">
        <f>35650+35200</f>
        <v>70850</v>
      </c>
    </row>
    <row r="24" spans="2:6">
      <c r="B24" s="87" t="s">
        <v>151</v>
      </c>
      <c r="C24" s="20" t="s">
        <v>296</v>
      </c>
      <c r="D24" s="92">
        <f t="shared" si="0"/>
        <v>1768210</v>
      </c>
      <c r="E24" s="88">
        <v>1200640</v>
      </c>
      <c r="F24" s="88">
        <v>567570</v>
      </c>
    </row>
    <row r="25" spans="2:6">
      <c r="B25" s="87" t="s">
        <v>153</v>
      </c>
      <c r="C25" s="20" t="s">
        <v>297</v>
      </c>
      <c r="D25" s="92">
        <f t="shared" si="0"/>
        <v>1043190</v>
      </c>
      <c r="E25" s="88">
        <v>708340</v>
      </c>
      <c r="F25" s="88">
        <v>334850</v>
      </c>
    </row>
    <row r="26" spans="2:6">
      <c r="B26" s="87" t="s">
        <v>155</v>
      </c>
      <c r="C26" s="20" t="s">
        <v>298</v>
      </c>
      <c r="D26" s="92">
        <f t="shared" si="0"/>
        <v>1251000</v>
      </c>
      <c r="E26" s="88">
        <v>825050</v>
      </c>
      <c r="F26" s="88">
        <v>425950</v>
      </c>
    </row>
    <row r="27" spans="2:6">
      <c r="B27" s="87" t="s">
        <v>157</v>
      </c>
      <c r="C27" s="20" t="s">
        <v>299</v>
      </c>
      <c r="D27" s="92">
        <f t="shared" si="0"/>
        <v>0</v>
      </c>
      <c r="E27" s="88">
        <v>0</v>
      </c>
      <c r="F27" s="88">
        <v>0</v>
      </c>
    </row>
    <row r="28" spans="2:6" s="7" customFormat="1">
      <c r="B28" s="67"/>
      <c r="C28" s="89" t="s">
        <v>300</v>
      </c>
      <c r="D28" s="72">
        <f>SUM(D14:D27)</f>
        <v>22068080</v>
      </c>
      <c r="E28" s="72">
        <f t="shared" ref="E28:F28" si="1">SUM(E14:E27)</f>
        <v>14697650</v>
      </c>
      <c r="F28" s="72">
        <f t="shared" si="1"/>
        <v>7370430</v>
      </c>
    </row>
    <row r="29" spans="2:6">
      <c r="F29" s="94"/>
    </row>
    <row r="30" spans="2:6" s="9" customFormat="1" ht="12">
      <c r="B30" s="71" t="s">
        <v>69</v>
      </c>
      <c r="C30" s="71" t="s">
        <v>301</v>
      </c>
      <c r="D30" s="71" t="s">
        <v>239</v>
      </c>
      <c r="E30" s="71" t="s">
        <v>428</v>
      </c>
      <c r="F30" s="71" t="s">
        <v>244</v>
      </c>
    </row>
    <row r="31" spans="2:6" s="80" customFormat="1">
      <c r="B31" s="93" t="s">
        <v>303</v>
      </c>
      <c r="E31" s="80">
        <v>611</v>
      </c>
      <c r="F31" s="80">
        <v>811</v>
      </c>
    </row>
    <row r="32" spans="2:6" s="83" customFormat="1">
      <c r="B32" s="87" t="s">
        <v>74</v>
      </c>
      <c r="C32" s="20" t="s">
        <v>286</v>
      </c>
      <c r="D32" s="92">
        <f t="shared" ref="D32:D45" si="2">SUM(E32:F32)</f>
        <v>1637820</v>
      </c>
      <c r="E32" s="88">
        <v>1637820</v>
      </c>
      <c r="F32" s="88">
        <v>0</v>
      </c>
    </row>
    <row r="33" spans="2:6">
      <c r="B33" s="87" t="s">
        <v>76</v>
      </c>
      <c r="C33" s="20" t="s">
        <v>287</v>
      </c>
      <c r="D33" s="92">
        <f t="shared" si="2"/>
        <v>117810</v>
      </c>
      <c r="E33" s="88">
        <v>117810</v>
      </c>
      <c r="F33" s="88">
        <v>0</v>
      </c>
    </row>
    <row r="34" spans="2:6" s="20" customFormat="1">
      <c r="B34" s="87" t="s">
        <v>77</v>
      </c>
      <c r="C34" s="20" t="s">
        <v>288</v>
      </c>
      <c r="D34" s="92">
        <f t="shared" si="2"/>
        <v>0</v>
      </c>
      <c r="E34" s="88">
        <v>0</v>
      </c>
      <c r="F34" s="88">
        <v>0</v>
      </c>
    </row>
    <row r="35" spans="2:6" s="20" customFormat="1">
      <c r="B35" s="87" t="s">
        <v>78</v>
      </c>
      <c r="C35" s="20" t="s">
        <v>289</v>
      </c>
      <c r="D35" s="92">
        <f t="shared" si="2"/>
        <v>0</v>
      </c>
      <c r="E35" s="88">
        <v>0</v>
      </c>
      <c r="F35" s="88">
        <v>0</v>
      </c>
    </row>
    <row r="36" spans="2:6">
      <c r="B36" s="87" t="s">
        <v>79</v>
      </c>
      <c r="C36" s="20" t="s">
        <v>290</v>
      </c>
      <c r="D36" s="92">
        <f t="shared" si="2"/>
        <v>949090</v>
      </c>
      <c r="E36" s="88">
        <v>949090</v>
      </c>
      <c r="F36" s="88">
        <v>0</v>
      </c>
    </row>
    <row r="37" spans="2:6">
      <c r="B37" s="87" t="s">
        <v>80</v>
      </c>
      <c r="C37" s="20" t="s">
        <v>291</v>
      </c>
      <c r="D37" s="92">
        <f t="shared" si="2"/>
        <v>0</v>
      </c>
      <c r="E37" s="88">
        <v>0</v>
      </c>
      <c r="F37" s="88">
        <v>0</v>
      </c>
    </row>
    <row r="38" spans="2:6">
      <c r="B38" s="87" t="s">
        <v>81</v>
      </c>
      <c r="C38" s="20" t="s">
        <v>292</v>
      </c>
      <c r="D38" s="92">
        <f t="shared" si="2"/>
        <v>269460</v>
      </c>
      <c r="E38" s="88">
        <v>269460</v>
      </c>
      <c r="F38" s="88">
        <v>0</v>
      </c>
    </row>
    <row r="39" spans="2:6">
      <c r="B39" s="87" t="s">
        <v>82</v>
      </c>
      <c r="C39" s="20" t="s">
        <v>293</v>
      </c>
      <c r="D39" s="92">
        <f t="shared" si="2"/>
        <v>22860</v>
      </c>
      <c r="E39" s="88">
        <v>22860</v>
      </c>
      <c r="F39" s="88">
        <v>0</v>
      </c>
    </row>
    <row r="40" spans="2:6" s="7" customFormat="1">
      <c r="B40" s="87" t="s">
        <v>93</v>
      </c>
      <c r="C40" s="20" t="s">
        <v>294</v>
      </c>
      <c r="D40" s="92">
        <f t="shared" si="2"/>
        <v>210610</v>
      </c>
      <c r="E40" s="88">
        <v>210610</v>
      </c>
      <c r="F40" s="88">
        <v>0</v>
      </c>
    </row>
    <row r="41" spans="2:6" s="10" customFormat="1">
      <c r="B41" s="87" t="s">
        <v>94</v>
      </c>
      <c r="C41" s="20" t="s">
        <v>295</v>
      </c>
      <c r="D41" s="92">
        <f t="shared" si="2"/>
        <v>59650</v>
      </c>
      <c r="E41" s="88">
        <f>48770+800+10080</f>
        <v>59650</v>
      </c>
      <c r="F41" s="88">
        <v>0</v>
      </c>
    </row>
    <row r="42" spans="2:6">
      <c r="B42" s="87" t="s">
        <v>151</v>
      </c>
      <c r="C42" s="20" t="s">
        <v>296</v>
      </c>
      <c r="D42" s="92">
        <f t="shared" si="2"/>
        <v>314720</v>
      </c>
      <c r="E42" s="88">
        <v>314720</v>
      </c>
      <c r="F42" s="88">
        <v>0</v>
      </c>
    </row>
    <row r="43" spans="2:6">
      <c r="B43" s="87" t="s">
        <v>153</v>
      </c>
      <c r="C43" s="20" t="s">
        <v>297</v>
      </c>
      <c r="D43" s="92">
        <f t="shared" si="2"/>
        <v>185680</v>
      </c>
      <c r="E43" s="88">
        <v>185680</v>
      </c>
      <c r="F43" s="88">
        <v>0</v>
      </c>
    </row>
    <row r="44" spans="2:6">
      <c r="B44" s="87" t="s">
        <v>155</v>
      </c>
      <c r="C44" s="20" t="s">
        <v>298</v>
      </c>
      <c r="D44" s="92">
        <f t="shared" si="2"/>
        <v>246420</v>
      </c>
      <c r="E44" s="88">
        <v>246420</v>
      </c>
      <c r="F44" s="88">
        <v>0</v>
      </c>
    </row>
    <row r="45" spans="2:6">
      <c r="B45" s="87" t="s">
        <v>157</v>
      </c>
      <c r="C45" s="20" t="s">
        <v>299</v>
      </c>
      <c r="D45" s="92">
        <f t="shared" si="2"/>
        <v>0</v>
      </c>
      <c r="E45" s="88">
        <v>0</v>
      </c>
      <c r="F45" s="88">
        <v>0</v>
      </c>
    </row>
    <row r="46" spans="2:6" s="7" customFormat="1">
      <c r="B46" s="67"/>
      <c r="C46" s="89" t="s">
        <v>300</v>
      </c>
      <c r="D46" s="72">
        <f>SUM(D32:D45)</f>
        <v>4014120</v>
      </c>
      <c r="E46" s="72">
        <f t="shared" ref="E46:F46" si="3">SUM(E32:E45)</f>
        <v>4014120</v>
      </c>
      <c r="F46" s="72">
        <f t="shared" si="3"/>
        <v>0</v>
      </c>
    </row>
    <row r="48" spans="2:6" s="9" customFormat="1" ht="12">
      <c r="B48" s="71" t="s">
        <v>69</v>
      </c>
      <c r="C48" s="71" t="s">
        <v>302</v>
      </c>
      <c r="D48" s="71" t="s">
        <v>239</v>
      </c>
      <c r="E48" s="71" t="s">
        <v>428</v>
      </c>
      <c r="F48" s="71" t="s">
        <v>244</v>
      </c>
    </row>
    <row r="49" spans="2:6" s="80" customFormat="1">
      <c r="B49" s="93" t="s">
        <v>304</v>
      </c>
      <c r="E49" s="80">
        <v>611</v>
      </c>
      <c r="F49" s="80">
        <v>811</v>
      </c>
    </row>
    <row r="50" spans="2:6" s="83" customFormat="1">
      <c r="B50" s="87" t="s">
        <v>74</v>
      </c>
      <c r="C50" s="20" t="s">
        <v>307</v>
      </c>
      <c r="D50" s="92">
        <f t="shared" ref="D50:D64" si="4">SUM(E50:F50)</f>
        <v>27470</v>
      </c>
      <c r="E50" s="88">
        <v>26280</v>
      </c>
      <c r="F50" s="88">
        <v>1190</v>
      </c>
    </row>
    <row r="51" spans="2:6">
      <c r="B51" s="87" t="s">
        <v>76</v>
      </c>
      <c r="C51" s="20" t="s">
        <v>308</v>
      </c>
      <c r="D51" s="92">
        <f t="shared" si="4"/>
        <v>0</v>
      </c>
      <c r="E51" s="88">
        <v>0</v>
      </c>
      <c r="F51" s="88">
        <v>0</v>
      </c>
    </row>
    <row r="52" spans="2:6" s="20" customFormat="1">
      <c r="B52" s="87" t="s">
        <v>77</v>
      </c>
      <c r="C52" s="20" t="s">
        <v>309</v>
      </c>
      <c r="D52" s="92">
        <f t="shared" si="4"/>
        <v>0</v>
      </c>
      <c r="E52" s="88">
        <v>0</v>
      </c>
      <c r="F52" s="88">
        <v>0</v>
      </c>
    </row>
    <row r="53" spans="2:6" s="20" customFormat="1">
      <c r="B53" s="87" t="s">
        <v>78</v>
      </c>
      <c r="C53" s="20" t="s">
        <v>310</v>
      </c>
      <c r="D53" s="92">
        <f t="shared" si="4"/>
        <v>0</v>
      </c>
      <c r="E53" s="88">
        <v>0</v>
      </c>
      <c r="F53" s="88">
        <v>0</v>
      </c>
    </row>
    <row r="54" spans="2:6">
      <c r="B54" s="87" t="s">
        <v>79</v>
      </c>
      <c r="C54" s="20" t="s">
        <v>311</v>
      </c>
      <c r="D54" s="92">
        <f t="shared" si="4"/>
        <v>26220</v>
      </c>
      <c r="E54" s="88">
        <v>21430</v>
      </c>
      <c r="F54" s="88">
        <v>4790</v>
      </c>
    </row>
    <row r="55" spans="2:6">
      <c r="B55" s="87" t="s">
        <v>80</v>
      </c>
      <c r="C55" s="20" t="s">
        <v>312</v>
      </c>
      <c r="D55" s="92">
        <f t="shared" si="4"/>
        <v>0</v>
      </c>
      <c r="E55" s="88">
        <v>0</v>
      </c>
      <c r="F55" s="88">
        <v>0</v>
      </c>
    </row>
    <row r="56" spans="2:6">
      <c r="B56" s="87" t="s">
        <v>81</v>
      </c>
      <c r="C56" s="20" t="s">
        <v>313</v>
      </c>
      <c r="D56" s="92">
        <f t="shared" si="4"/>
        <v>0</v>
      </c>
      <c r="E56" s="88">
        <v>0</v>
      </c>
      <c r="F56" s="88">
        <v>0</v>
      </c>
    </row>
    <row r="57" spans="2:6">
      <c r="B57" s="87" t="s">
        <v>82</v>
      </c>
      <c r="C57" s="20" t="s">
        <v>314</v>
      </c>
      <c r="D57" s="92">
        <f t="shared" si="4"/>
        <v>0</v>
      </c>
      <c r="E57" s="88">
        <v>0</v>
      </c>
      <c r="F57" s="88">
        <v>0</v>
      </c>
    </row>
    <row r="58" spans="2:6">
      <c r="B58" s="87" t="s">
        <v>93</v>
      </c>
      <c r="C58" s="20" t="s">
        <v>315</v>
      </c>
      <c r="D58" s="92">
        <f t="shared" si="4"/>
        <v>32460</v>
      </c>
      <c r="E58" s="88">
        <v>21900</v>
      </c>
      <c r="F58" s="88">
        <v>10560</v>
      </c>
    </row>
    <row r="59" spans="2:6">
      <c r="B59" s="87" t="s">
        <v>94</v>
      </c>
      <c r="C59" s="20" t="s">
        <v>316</v>
      </c>
      <c r="D59" s="92">
        <f t="shared" si="4"/>
        <v>0</v>
      </c>
      <c r="E59" s="88">
        <v>0</v>
      </c>
      <c r="F59" s="88">
        <v>0</v>
      </c>
    </row>
    <row r="60" spans="2:6">
      <c r="B60" s="87" t="s">
        <v>151</v>
      </c>
      <c r="C60" s="20" t="s">
        <v>317</v>
      </c>
      <c r="D60" s="92">
        <f t="shared" si="4"/>
        <v>176730</v>
      </c>
      <c r="E60" s="88">
        <v>152790</v>
      </c>
      <c r="F60" s="88">
        <v>23940</v>
      </c>
    </row>
    <row r="61" spans="2:6">
      <c r="B61" s="87" t="s">
        <v>153</v>
      </c>
      <c r="C61" s="20" t="s">
        <v>318</v>
      </c>
      <c r="D61" s="92">
        <f t="shared" si="4"/>
        <v>0</v>
      </c>
      <c r="E61" s="88">
        <v>0</v>
      </c>
      <c r="F61" s="88">
        <v>0</v>
      </c>
    </row>
    <row r="62" spans="2:6">
      <c r="B62" s="87" t="s">
        <v>155</v>
      </c>
      <c r="C62" s="20" t="s">
        <v>319</v>
      </c>
      <c r="D62" s="92">
        <f t="shared" si="4"/>
        <v>33770</v>
      </c>
      <c r="E62" s="88">
        <v>33770</v>
      </c>
      <c r="F62" s="88">
        <v>0</v>
      </c>
    </row>
    <row r="63" spans="2:6" s="7" customFormat="1">
      <c r="B63" s="87" t="s">
        <v>157</v>
      </c>
      <c r="C63" s="20" t="s">
        <v>320</v>
      </c>
      <c r="D63" s="92">
        <f t="shared" si="4"/>
        <v>0</v>
      </c>
      <c r="E63" s="88">
        <v>0</v>
      </c>
      <c r="F63" s="88">
        <v>0</v>
      </c>
    </row>
    <row r="64" spans="2:6" s="10" customFormat="1">
      <c r="B64" s="87" t="s">
        <v>159</v>
      </c>
      <c r="C64" s="20" t="s">
        <v>321</v>
      </c>
      <c r="D64" s="92">
        <f t="shared" si="4"/>
        <v>120860</v>
      </c>
      <c r="E64" s="88">
        <v>108360</v>
      </c>
      <c r="F64" s="88">
        <v>12500</v>
      </c>
    </row>
    <row r="65" spans="2:6">
      <c r="B65" s="87"/>
      <c r="C65" s="20"/>
      <c r="D65" s="92"/>
      <c r="E65" s="88"/>
      <c r="F65" s="88"/>
    </row>
    <row r="66" spans="2:6" s="7" customFormat="1">
      <c r="B66" s="67"/>
      <c r="C66" s="89" t="s">
        <v>300</v>
      </c>
      <c r="D66" s="72">
        <f>SUM(D50:D65)</f>
        <v>417510</v>
      </c>
      <c r="E66" s="72">
        <f t="shared" ref="E66:F66" si="5">SUM(E50:E65)</f>
        <v>364530</v>
      </c>
      <c r="F66" s="72">
        <f t="shared" si="5"/>
        <v>52980</v>
      </c>
    </row>
    <row r="68" spans="2:6" s="9" customFormat="1" ht="12">
      <c r="B68" s="71" t="s">
        <v>69</v>
      </c>
      <c r="C68" s="71" t="s">
        <v>324</v>
      </c>
      <c r="D68" s="71" t="s">
        <v>239</v>
      </c>
      <c r="E68" s="71" t="s">
        <v>428</v>
      </c>
      <c r="F68" s="71" t="s">
        <v>244</v>
      </c>
    </row>
    <row r="69" spans="2:6" s="80" customFormat="1">
      <c r="B69" s="93" t="s">
        <v>323</v>
      </c>
      <c r="E69" s="80">
        <v>611</v>
      </c>
      <c r="F69" s="80">
        <v>811</v>
      </c>
    </row>
    <row r="70" spans="2:6" s="83" customFormat="1">
      <c r="B70" s="87" t="s">
        <v>74</v>
      </c>
      <c r="C70" s="20" t="s">
        <v>325</v>
      </c>
      <c r="D70" s="92">
        <f t="shared" ref="D70:D91" si="6">SUM(E70:F70)</f>
        <v>0</v>
      </c>
      <c r="E70" s="88">
        <v>0</v>
      </c>
      <c r="F70" s="88">
        <v>0</v>
      </c>
    </row>
    <row r="71" spans="2:6">
      <c r="B71" s="87" t="s">
        <v>76</v>
      </c>
      <c r="C71" s="20" t="s">
        <v>326</v>
      </c>
      <c r="D71" s="92">
        <f t="shared" si="6"/>
        <v>0</v>
      </c>
      <c r="E71" s="88">
        <v>0</v>
      </c>
      <c r="F71" s="88">
        <v>0</v>
      </c>
    </row>
    <row r="72" spans="2:6" s="20" customFormat="1">
      <c r="B72" s="87" t="s">
        <v>77</v>
      </c>
      <c r="C72" s="20" t="s">
        <v>327</v>
      </c>
      <c r="D72" s="92">
        <f t="shared" si="6"/>
        <v>0</v>
      </c>
      <c r="E72" s="88">
        <v>0</v>
      </c>
      <c r="F72" s="88">
        <v>0</v>
      </c>
    </row>
    <row r="73" spans="2:6" s="20" customFormat="1">
      <c r="B73" s="87" t="s">
        <v>78</v>
      </c>
      <c r="C73" s="20" t="s">
        <v>328</v>
      </c>
      <c r="D73" s="92">
        <f t="shared" si="6"/>
        <v>0</v>
      </c>
      <c r="E73" s="88">
        <v>0</v>
      </c>
      <c r="F73" s="88">
        <v>0</v>
      </c>
    </row>
    <row r="74" spans="2:6">
      <c r="B74" s="87" t="s">
        <v>79</v>
      </c>
      <c r="C74" s="20" t="s">
        <v>329</v>
      </c>
      <c r="D74" s="92">
        <f t="shared" si="6"/>
        <v>109320</v>
      </c>
      <c r="E74" s="88">
        <v>109320</v>
      </c>
      <c r="F74" s="88">
        <v>0</v>
      </c>
    </row>
    <row r="75" spans="2:6">
      <c r="B75" s="87" t="s">
        <v>80</v>
      </c>
      <c r="C75" s="20" t="s">
        <v>330</v>
      </c>
      <c r="D75" s="92">
        <f t="shared" si="6"/>
        <v>48760</v>
      </c>
      <c r="E75" s="88">
        <v>48760</v>
      </c>
      <c r="F75" s="88">
        <v>0</v>
      </c>
    </row>
    <row r="76" spans="2:6">
      <c r="B76" s="87" t="s">
        <v>81</v>
      </c>
      <c r="C76" s="20" t="s">
        <v>331</v>
      </c>
      <c r="D76" s="92">
        <f t="shared" si="6"/>
        <v>142830</v>
      </c>
      <c r="E76" s="88">
        <v>142830</v>
      </c>
      <c r="F76" s="88">
        <v>0</v>
      </c>
    </row>
    <row r="77" spans="2:6">
      <c r="B77" s="87" t="s">
        <v>82</v>
      </c>
      <c r="C77" s="20" t="s">
        <v>332</v>
      </c>
      <c r="D77" s="92">
        <f t="shared" si="6"/>
        <v>0</v>
      </c>
      <c r="E77" s="88">
        <v>0</v>
      </c>
      <c r="F77" s="88">
        <v>0</v>
      </c>
    </row>
    <row r="78" spans="2:6">
      <c r="B78" s="87" t="s">
        <v>93</v>
      </c>
      <c r="C78" s="20" t="s">
        <v>333</v>
      </c>
      <c r="D78" s="92">
        <f t="shared" si="6"/>
        <v>123000</v>
      </c>
      <c r="E78" s="88">
        <v>118760</v>
      </c>
      <c r="F78" s="88">
        <v>4240</v>
      </c>
    </row>
    <row r="79" spans="2:6">
      <c r="B79" s="87" t="s">
        <v>94</v>
      </c>
      <c r="C79" s="20" t="s">
        <v>334</v>
      </c>
      <c r="D79" s="92">
        <f t="shared" si="6"/>
        <v>80430</v>
      </c>
      <c r="E79" s="88">
        <v>76210</v>
      </c>
      <c r="F79" s="88">
        <v>4220</v>
      </c>
    </row>
    <row r="80" spans="2:6">
      <c r="B80" s="87" t="s">
        <v>151</v>
      </c>
      <c r="C80" s="20" t="s">
        <v>335</v>
      </c>
      <c r="D80" s="92">
        <f t="shared" si="6"/>
        <v>0</v>
      </c>
      <c r="E80" s="88">
        <v>0</v>
      </c>
      <c r="F80" s="88">
        <v>0</v>
      </c>
    </row>
    <row r="81" spans="2:6">
      <c r="B81" s="87" t="s">
        <v>153</v>
      </c>
      <c r="C81" s="20" t="s">
        <v>336</v>
      </c>
      <c r="D81" s="92">
        <f t="shared" si="6"/>
        <v>0</v>
      </c>
      <c r="E81" s="88">
        <v>0</v>
      </c>
      <c r="F81" s="88">
        <v>0</v>
      </c>
    </row>
    <row r="82" spans="2:6">
      <c r="B82" s="87" t="s">
        <v>155</v>
      </c>
      <c r="C82" s="20" t="s">
        <v>337</v>
      </c>
      <c r="D82" s="92">
        <f t="shared" si="6"/>
        <v>128330</v>
      </c>
      <c r="E82" s="88">
        <v>128330</v>
      </c>
      <c r="F82" s="88">
        <v>0</v>
      </c>
    </row>
    <row r="83" spans="2:6" s="7" customFormat="1">
      <c r="B83" s="87" t="s">
        <v>157</v>
      </c>
      <c r="C83" s="20" t="s">
        <v>338</v>
      </c>
      <c r="D83" s="92">
        <f t="shared" si="6"/>
        <v>0</v>
      </c>
      <c r="E83" s="88">
        <v>0</v>
      </c>
      <c r="F83" s="88">
        <v>0</v>
      </c>
    </row>
    <row r="84" spans="2:6" s="10" customFormat="1">
      <c r="B84" s="87" t="s">
        <v>159</v>
      </c>
      <c r="C84" s="20" t="s">
        <v>339</v>
      </c>
      <c r="D84" s="92">
        <f t="shared" si="6"/>
        <v>8260</v>
      </c>
      <c r="E84" s="88">
        <v>0</v>
      </c>
      <c r="F84" s="88">
        <v>8260</v>
      </c>
    </row>
    <row r="85" spans="2:6" s="10" customFormat="1">
      <c r="B85" s="87" t="s">
        <v>305</v>
      </c>
      <c r="C85" s="20" t="s">
        <v>340</v>
      </c>
      <c r="D85" s="92">
        <f t="shared" si="6"/>
        <v>15140</v>
      </c>
      <c r="E85" s="88">
        <v>15140</v>
      </c>
      <c r="F85" s="88">
        <v>0</v>
      </c>
    </row>
    <row r="86" spans="2:6" s="10" customFormat="1">
      <c r="B86" s="87" t="s">
        <v>129</v>
      </c>
      <c r="C86" s="20" t="s">
        <v>341</v>
      </c>
      <c r="D86" s="92">
        <f t="shared" si="6"/>
        <v>9680</v>
      </c>
      <c r="E86" s="88">
        <v>7560</v>
      </c>
      <c r="F86" s="88">
        <v>2120</v>
      </c>
    </row>
    <row r="87" spans="2:6" s="10" customFormat="1">
      <c r="B87" s="87" t="s">
        <v>306</v>
      </c>
      <c r="C87" s="20" t="s">
        <v>342</v>
      </c>
      <c r="D87" s="92">
        <f t="shared" si="6"/>
        <v>11970</v>
      </c>
      <c r="E87" s="88">
        <v>0</v>
      </c>
      <c r="F87" s="88">
        <v>11970</v>
      </c>
    </row>
    <row r="88" spans="2:6" s="10" customFormat="1">
      <c r="B88" s="87" t="s">
        <v>216</v>
      </c>
      <c r="C88" s="20" t="s">
        <v>343</v>
      </c>
      <c r="D88" s="92">
        <f t="shared" si="6"/>
        <v>0</v>
      </c>
      <c r="E88" s="88">
        <v>0</v>
      </c>
      <c r="F88" s="88">
        <v>0</v>
      </c>
    </row>
    <row r="89" spans="2:6" s="10" customFormat="1">
      <c r="B89" s="87" t="s">
        <v>347</v>
      </c>
      <c r="C89" s="20" t="s">
        <v>344</v>
      </c>
      <c r="D89" s="92">
        <f t="shared" si="6"/>
        <v>0</v>
      </c>
      <c r="E89" s="88">
        <v>0</v>
      </c>
      <c r="F89" s="88">
        <v>0</v>
      </c>
    </row>
    <row r="90" spans="2:6" s="10" customFormat="1">
      <c r="B90" s="87" t="s">
        <v>218</v>
      </c>
      <c r="C90" s="20" t="s">
        <v>345</v>
      </c>
      <c r="D90" s="92">
        <f t="shared" si="6"/>
        <v>47090</v>
      </c>
      <c r="E90" s="88">
        <v>47090</v>
      </c>
      <c r="F90" s="88">
        <v>0</v>
      </c>
    </row>
    <row r="91" spans="2:6">
      <c r="B91" s="87" t="s">
        <v>348</v>
      </c>
      <c r="C91" s="20" t="s">
        <v>346</v>
      </c>
      <c r="D91" s="92">
        <f t="shared" si="6"/>
        <v>383940</v>
      </c>
      <c r="E91" s="88">
        <v>274170</v>
      </c>
      <c r="F91" s="88">
        <v>109770</v>
      </c>
    </row>
    <row r="92" spans="2:6" s="7" customFormat="1">
      <c r="B92" s="67"/>
      <c r="C92" s="89" t="s">
        <v>300</v>
      </c>
      <c r="D92" s="72">
        <f>SUM(D70:D91)</f>
        <v>1108750</v>
      </c>
      <c r="E92" s="72">
        <f t="shared" ref="E92:F92" si="7">SUM(E70:E91)</f>
        <v>968170</v>
      </c>
      <c r="F92" s="72">
        <f t="shared" si="7"/>
        <v>140580</v>
      </c>
    </row>
    <row r="94" spans="2:6" s="9" customFormat="1" ht="12">
      <c r="B94" s="71" t="s">
        <v>69</v>
      </c>
      <c r="C94" s="71" t="s">
        <v>349</v>
      </c>
      <c r="D94" s="71" t="s">
        <v>239</v>
      </c>
      <c r="E94" s="71" t="s">
        <v>428</v>
      </c>
      <c r="F94" s="71" t="s">
        <v>244</v>
      </c>
    </row>
    <row r="95" spans="2:6" s="80" customFormat="1">
      <c r="B95" s="93" t="s">
        <v>350</v>
      </c>
      <c r="E95" s="80">
        <v>611</v>
      </c>
      <c r="F95" s="80">
        <v>811</v>
      </c>
    </row>
    <row r="96" spans="2:6" s="83" customFormat="1">
      <c r="B96" s="87" t="s">
        <v>74</v>
      </c>
      <c r="C96" s="20" t="s">
        <v>351</v>
      </c>
      <c r="D96" s="92">
        <f t="shared" ref="D96:D106" si="8">SUM(E96:F96)</f>
        <v>77920</v>
      </c>
      <c r="E96" s="88">
        <v>77920</v>
      </c>
      <c r="F96" s="88">
        <v>0</v>
      </c>
    </row>
    <row r="97" spans="2:6">
      <c r="B97" s="87" t="s">
        <v>76</v>
      </c>
      <c r="C97" s="20" t="s">
        <v>352</v>
      </c>
      <c r="D97" s="92">
        <f t="shared" si="8"/>
        <v>0</v>
      </c>
      <c r="E97" s="88">
        <v>0</v>
      </c>
      <c r="F97" s="88">
        <v>0</v>
      </c>
    </row>
    <row r="98" spans="2:6" s="20" customFormat="1">
      <c r="B98" s="87" t="s">
        <v>77</v>
      </c>
      <c r="C98" s="20" t="s">
        <v>353</v>
      </c>
      <c r="D98" s="92">
        <f t="shared" si="8"/>
        <v>0</v>
      </c>
      <c r="E98" s="88">
        <v>0</v>
      </c>
      <c r="F98" s="88">
        <v>0</v>
      </c>
    </row>
    <row r="99" spans="2:6" s="20" customFormat="1">
      <c r="B99" s="87" t="s">
        <v>78</v>
      </c>
      <c r="C99" s="20" t="s">
        <v>354</v>
      </c>
      <c r="D99" s="92">
        <f t="shared" si="8"/>
        <v>98450</v>
      </c>
      <c r="E99" s="88">
        <v>98450</v>
      </c>
      <c r="F99" s="88">
        <v>0</v>
      </c>
    </row>
    <row r="100" spans="2:6">
      <c r="B100" s="87" t="s">
        <v>79</v>
      </c>
      <c r="C100" s="20" t="s">
        <v>355</v>
      </c>
      <c r="D100" s="92">
        <f t="shared" si="8"/>
        <v>0</v>
      </c>
      <c r="E100" s="88">
        <v>0</v>
      </c>
      <c r="F100" s="88">
        <v>0</v>
      </c>
    </row>
    <row r="101" spans="2:6">
      <c r="B101" s="87" t="s">
        <v>80</v>
      </c>
      <c r="C101" s="20" t="s">
        <v>356</v>
      </c>
      <c r="D101" s="92">
        <f t="shared" si="8"/>
        <v>36520</v>
      </c>
      <c r="E101" s="88">
        <v>36520</v>
      </c>
      <c r="F101" s="88">
        <v>0</v>
      </c>
    </row>
    <row r="102" spans="2:6">
      <c r="B102" s="87" t="s">
        <v>81</v>
      </c>
      <c r="C102" s="20" t="s">
        <v>357</v>
      </c>
      <c r="D102" s="92">
        <f t="shared" si="8"/>
        <v>16380</v>
      </c>
      <c r="E102" s="88">
        <v>16380</v>
      </c>
      <c r="F102" s="88">
        <v>0</v>
      </c>
    </row>
    <row r="103" spans="2:6">
      <c r="B103" s="87" t="s">
        <v>82</v>
      </c>
      <c r="C103" s="20" t="s">
        <v>358</v>
      </c>
      <c r="D103" s="92">
        <f t="shared" si="8"/>
        <v>156660</v>
      </c>
      <c r="E103" s="88">
        <v>146400</v>
      </c>
      <c r="F103" s="88">
        <v>10260</v>
      </c>
    </row>
    <row r="104" spans="2:6">
      <c r="B104" s="87" t="s">
        <v>93</v>
      </c>
      <c r="C104" s="20" t="s">
        <v>359</v>
      </c>
      <c r="D104" s="92">
        <f t="shared" si="8"/>
        <v>0</v>
      </c>
      <c r="E104" s="88">
        <v>0</v>
      </c>
      <c r="F104" s="88">
        <v>0</v>
      </c>
    </row>
    <row r="105" spans="2:6">
      <c r="B105" s="87" t="s">
        <v>94</v>
      </c>
      <c r="C105" s="20" t="s">
        <v>360</v>
      </c>
      <c r="D105" s="92">
        <f t="shared" si="8"/>
        <v>157380</v>
      </c>
      <c r="E105" s="88">
        <v>157380</v>
      </c>
      <c r="F105" s="88">
        <v>0</v>
      </c>
    </row>
    <row r="106" spans="2:6">
      <c r="B106" s="87" t="s">
        <v>362</v>
      </c>
      <c r="C106" s="20" t="s">
        <v>361</v>
      </c>
      <c r="D106" s="92">
        <f t="shared" si="8"/>
        <v>179130</v>
      </c>
      <c r="E106" s="88">
        <v>171350</v>
      </c>
      <c r="F106" s="88">
        <v>7780</v>
      </c>
    </row>
    <row r="107" spans="2:6" s="7" customFormat="1">
      <c r="B107" s="67"/>
      <c r="C107" s="89" t="s">
        <v>300</v>
      </c>
      <c r="D107" s="72">
        <f>SUM(D96:D106)</f>
        <v>722440</v>
      </c>
      <c r="E107" s="72">
        <f>SUM(E96:E106)</f>
        <v>704400</v>
      </c>
      <c r="F107" s="72">
        <f t="shared" ref="F107" si="9">SUM(F96:F106)</f>
        <v>18040</v>
      </c>
    </row>
    <row r="109" spans="2:6" s="9" customFormat="1" ht="12">
      <c r="B109" s="71" t="s">
        <v>69</v>
      </c>
      <c r="C109" s="71" t="s">
        <v>375</v>
      </c>
      <c r="D109" s="71" t="s">
        <v>239</v>
      </c>
      <c r="E109" s="71" t="s">
        <v>428</v>
      </c>
      <c r="F109" s="71" t="s">
        <v>244</v>
      </c>
    </row>
    <row r="110" spans="2:6" s="80" customFormat="1">
      <c r="B110" s="9"/>
      <c r="E110" s="80">
        <v>611</v>
      </c>
      <c r="F110" s="80">
        <v>811</v>
      </c>
    </row>
    <row r="111" spans="2:6" s="10" customFormat="1">
      <c r="B111" s="90" t="s">
        <v>366</v>
      </c>
      <c r="C111" s="91" t="s">
        <v>364</v>
      </c>
      <c r="D111" s="92">
        <f t="shared" ref="D111:D123" si="10">SUM(E111:F111)</f>
        <v>0</v>
      </c>
      <c r="E111" s="92">
        <f>+E112</f>
        <v>0</v>
      </c>
      <c r="F111" s="92">
        <f>+F112</f>
        <v>0</v>
      </c>
    </row>
    <row r="112" spans="2:6">
      <c r="B112" s="87" t="s">
        <v>363</v>
      </c>
      <c r="C112" s="20" t="s">
        <v>365</v>
      </c>
      <c r="D112" s="84">
        <f t="shared" si="10"/>
        <v>0</v>
      </c>
      <c r="E112" s="88">
        <v>0</v>
      </c>
      <c r="F112" s="88">
        <v>0</v>
      </c>
    </row>
    <row r="113" spans="2:6" s="10" customFormat="1">
      <c r="B113" s="90" t="s">
        <v>367</v>
      </c>
      <c r="C113" s="91" t="s">
        <v>369</v>
      </c>
      <c r="D113" s="92">
        <f t="shared" si="10"/>
        <v>445700</v>
      </c>
      <c r="E113" s="92">
        <f>+E114</f>
        <v>445700</v>
      </c>
      <c r="F113" s="92">
        <f>+F114</f>
        <v>0</v>
      </c>
    </row>
    <row r="114" spans="2:6">
      <c r="B114" s="87" t="s">
        <v>368</v>
      </c>
      <c r="C114" s="20" t="s">
        <v>370</v>
      </c>
      <c r="D114" s="84">
        <f t="shared" si="10"/>
        <v>445700</v>
      </c>
      <c r="E114" s="88">
        <v>445700</v>
      </c>
      <c r="F114" s="88">
        <v>0</v>
      </c>
    </row>
    <row r="115" spans="2:6" s="10" customFormat="1">
      <c r="B115" s="90" t="s">
        <v>386</v>
      </c>
      <c r="C115" s="91" t="s">
        <v>387</v>
      </c>
      <c r="D115" s="92">
        <f t="shared" si="10"/>
        <v>0</v>
      </c>
      <c r="E115" s="92">
        <f>+E116</f>
        <v>0</v>
      </c>
      <c r="F115" s="92">
        <f>+F116</f>
        <v>0</v>
      </c>
    </row>
    <row r="116" spans="2:6">
      <c r="B116" s="87" t="s">
        <v>386</v>
      </c>
      <c r="C116" s="20" t="s">
        <v>388</v>
      </c>
      <c r="D116" s="84">
        <f t="shared" si="10"/>
        <v>0</v>
      </c>
      <c r="E116" s="88">
        <v>0</v>
      </c>
      <c r="F116" s="88">
        <v>0</v>
      </c>
    </row>
    <row r="117" spans="2:6" s="10" customFormat="1">
      <c r="B117" s="90" t="s">
        <v>371</v>
      </c>
      <c r="C117" s="91" t="s">
        <v>372</v>
      </c>
      <c r="D117" s="92">
        <f t="shared" si="10"/>
        <v>0</v>
      </c>
      <c r="E117" s="92">
        <f>+E118</f>
        <v>0</v>
      </c>
      <c r="F117" s="92">
        <f>+F118</f>
        <v>0</v>
      </c>
    </row>
    <row r="118" spans="2:6">
      <c r="B118" s="87" t="s">
        <v>374</v>
      </c>
      <c r="C118" s="20" t="s">
        <v>373</v>
      </c>
      <c r="D118" s="84">
        <f t="shared" si="10"/>
        <v>0</v>
      </c>
      <c r="E118" s="88">
        <v>0</v>
      </c>
      <c r="F118" s="88">
        <v>0</v>
      </c>
    </row>
    <row r="119" spans="2:6" s="10" customFormat="1">
      <c r="B119" s="90" t="s">
        <v>376</v>
      </c>
      <c r="C119" s="91" t="s">
        <v>377</v>
      </c>
      <c r="D119" s="92">
        <f t="shared" si="10"/>
        <v>0</v>
      </c>
      <c r="E119" s="92">
        <f>+E120</f>
        <v>0</v>
      </c>
      <c r="F119" s="92">
        <f>+F120</f>
        <v>0</v>
      </c>
    </row>
    <row r="120" spans="2:6">
      <c r="B120" s="87" t="s">
        <v>378</v>
      </c>
      <c r="C120" s="20" t="s">
        <v>379</v>
      </c>
      <c r="D120" s="84">
        <f t="shared" si="10"/>
        <v>0</v>
      </c>
      <c r="E120" s="88">
        <v>0</v>
      </c>
      <c r="F120" s="88">
        <v>0</v>
      </c>
    </row>
    <row r="121" spans="2:6" s="10" customFormat="1">
      <c r="B121" s="90" t="s">
        <v>380</v>
      </c>
      <c r="C121" s="91" t="s">
        <v>381</v>
      </c>
      <c r="D121" s="92">
        <f t="shared" si="10"/>
        <v>0</v>
      </c>
      <c r="E121" s="92">
        <f>SUM(E122:E123)</f>
        <v>0</v>
      </c>
      <c r="F121" s="92">
        <f>SUM(F122:F123)</f>
        <v>0</v>
      </c>
    </row>
    <row r="122" spans="2:6">
      <c r="B122" s="87" t="s">
        <v>382</v>
      </c>
      <c r="C122" s="20" t="s">
        <v>384</v>
      </c>
      <c r="D122" s="84">
        <f t="shared" si="10"/>
        <v>0</v>
      </c>
      <c r="E122" s="88">
        <v>0</v>
      </c>
      <c r="F122" s="88">
        <v>0</v>
      </c>
    </row>
    <row r="123" spans="2:6">
      <c r="B123" s="87" t="s">
        <v>383</v>
      </c>
      <c r="C123" s="20" t="s">
        <v>385</v>
      </c>
      <c r="D123" s="84">
        <f t="shared" si="10"/>
        <v>0</v>
      </c>
      <c r="E123" s="88">
        <v>0</v>
      </c>
      <c r="F123" s="88">
        <v>0</v>
      </c>
    </row>
    <row r="124" spans="2:6" s="7" customFormat="1">
      <c r="B124" s="67"/>
      <c r="C124" s="89" t="s">
        <v>300</v>
      </c>
      <c r="D124" s="72">
        <f>+D111+D113+D115+D117+D119+D121</f>
        <v>445700</v>
      </c>
      <c r="E124" s="72">
        <f>+E111+E113+E115+E117+E119+E121</f>
        <v>445700</v>
      </c>
      <c r="F124" s="72">
        <f>+F111+F113+F115+F117+F119+F121</f>
        <v>0</v>
      </c>
    </row>
    <row r="125" spans="2:6">
      <c r="B125" s="67"/>
      <c r="C125" s="89" t="s">
        <v>393</v>
      </c>
      <c r="D125" s="72">
        <f>+D28+D46+D66+D92+D107+D124</f>
        <v>28776600</v>
      </c>
      <c r="E125" s="72">
        <f t="shared" ref="E125:F125" si="11">+E28+E46+E66+E92+E107+E124</f>
        <v>21194570</v>
      </c>
      <c r="F125" s="72">
        <f t="shared" si="11"/>
        <v>7582030</v>
      </c>
    </row>
  </sheetData>
  <mergeCells count="4">
    <mergeCell ref="C8:F8"/>
    <mergeCell ref="C9:F9"/>
    <mergeCell ref="B10:F10"/>
    <mergeCell ref="B1:F5"/>
  </mergeCells>
  <printOptions horizontalCentered="1"/>
  <pageMargins left="0.47" right="0.47" top="0.74803149606299213" bottom="0.74803149606299213" header="0.31496062992125984" footer="0.31496062992125984"/>
  <pageSetup paperSize="9" scale="92" orientation="portrait" r:id="rId1"/>
  <rowBreaks count="2" manualBreakCount="2">
    <brk id="46" max="16383" man="1"/>
    <brk id="92" max="16383" man="1"/>
  </rowBreaks>
  <drawing r:id="rId2"/>
</worksheet>
</file>

<file path=xl/worksheets/sheet24.xml><?xml version="1.0" encoding="utf-8"?>
<worksheet xmlns="http://schemas.openxmlformats.org/spreadsheetml/2006/main" xmlns:r="http://schemas.openxmlformats.org/officeDocument/2006/relationships">
  <dimension ref="B1:F103"/>
  <sheetViews>
    <sheetView workbookViewId="0">
      <selection activeCell="B8" sqref="B8:F8"/>
    </sheetView>
  </sheetViews>
  <sheetFormatPr baseColWidth="10" defaultRowHeight="15"/>
  <cols>
    <col min="1" max="1" width="6.28515625" customWidth="1"/>
    <col min="2" max="2" width="5" style="80" customWidth="1"/>
    <col min="3" max="3" width="4.5703125" style="80" customWidth="1"/>
    <col min="4" max="4" width="49.28515625" bestFit="1" customWidth="1"/>
    <col min="5" max="5" width="18" bestFit="1" customWidth="1"/>
    <col min="6" max="6" width="13.85546875" bestFit="1" customWidth="1"/>
  </cols>
  <sheetData>
    <row r="1" spans="2:6" s="1" customFormat="1">
      <c r="B1" s="95"/>
      <c r="C1" s="95"/>
      <c r="D1"/>
    </row>
    <row r="2" spans="2:6" s="1" customFormat="1" ht="12.75">
      <c r="B2" s="95"/>
      <c r="C2" s="95"/>
    </row>
    <row r="3" spans="2:6" s="1" customFormat="1" ht="12.75">
      <c r="B3" s="95"/>
      <c r="C3" s="95"/>
    </row>
    <row r="4" spans="2:6" s="1" customFormat="1" ht="12.75">
      <c r="B4" s="95"/>
      <c r="C4" s="95"/>
    </row>
    <row r="5" spans="2:6" s="1" customFormat="1" ht="13.5" thickBot="1">
      <c r="B5" s="100"/>
      <c r="C5" s="100"/>
      <c r="D5" s="6"/>
      <c r="E5" s="6"/>
      <c r="F5" s="6"/>
    </row>
    <row r="6" spans="2:6" ht="10.5" customHeight="1" thickTop="1"/>
    <row r="7" spans="2:6" s="20" customFormat="1" ht="12.75">
      <c r="B7" s="104" t="s">
        <v>867</v>
      </c>
      <c r="C7" s="52"/>
    </row>
    <row r="8" spans="2:6">
      <c r="B8" s="390" t="s">
        <v>747</v>
      </c>
      <c r="C8" s="390"/>
      <c r="D8" s="390"/>
      <c r="E8" s="390"/>
      <c r="F8" s="390"/>
    </row>
    <row r="9" spans="2:6">
      <c r="B9" s="390" t="s">
        <v>429</v>
      </c>
      <c r="C9" s="390"/>
      <c r="D9" s="390"/>
      <c r="E9" s="390"/>
      <c r="F9" s="390"/>
    </row>
    <row r="11" spans="2:6">
      <c r="B11" s="401" t="s">
        <v>430</v>
      </c>
      <c r="C11" s="401"/>
      <c r="D11" s="71" t="s">
        <v>3</v>
      </c>
      <c r="E11" s="71" t="s">
        <v>432</v>
      </c>
      <c r="F11" s="71" t="s">
        <v>433</v>
      </c>
    </row>
    <row r="12" spans="2:6" s="9" customFormat="1" ht="5.25" customHeight="1">
      <c r="B12" s="87"/>
      <c r="C12" s="87"/>
      <c r="D12"/>
      <c r="E12" s="80"/>
      <c r="F12" s="80"/>
    </row>
    <row r="13" spans="2:6">
      <c r="B13" s="101">
        <v>1</v>
      </c>
      <c r="C13" s="97"/>
      <c r="D13" s="399" t="s">
        <v>431</v>
      </c>
      <c r="E13" s="400"/>
      <c r="F13" s="72">
        <f>+E14+E22+E23+E26+E28+E29+E30</f>
        <v>160126680</v>
      </c>
    </row>
    <row r="14" spans="2:6" s="7" customFormat="1">
      <c r="B14" s="101" t="s">
        <v>434</v>
      </c>
      <c r="C14" s="101" t="s">
        <v>94</v>
      </c>
      <c r="D14" s="98" t="s">
        <v>435</v>
      </c>
      <c r="E14" s="106">
        <f>SUM(E15:E21)</f>
        <v>56747520</v>
      </c>
      <c r="F14" s="81"/>
    </row>
    <row r="15" spans="2:6" s="83" customFormat="1">
      <c r="B15" s="102"/>
      <c r="C15" s="102"/>
      <c r="D15" s="99" t="s">
        <v>436</v>
      </c>
      <c r="E15" s="76">
        <f>+'FIN_FUNC A'!D15</f>
        <v>4529890</v>
      </c>
      <c r="F15" s="70"/>
    </row>
    <row r="16" spans="2:6">
      <c r="B16" s="105"/>
      <c r="C16" s="105"/>
      <c r="D16" s="99" t="s">
        <v>437</v>
      </c>
      <c r="E16" s="76">
        <f>+'FIN_FUNC A'!D16</f>
        <v>3018140</v>
      </c>
      <c r="F16" s="84"/>
    </row>
    <row r="17" spans="2:6" s="20" customFormat="1">
      <c r="B17" s="103"/>
      <c r="C17" s="103"/>
      <c r="D17" s="99" t="s">
        <v>438</v>
      </c>
      <c r="E17" s="76">
        <f>+'FIN_FUNC A'!D17</f>
        <v>13110890</v>
      </c>
      <c r="F17" s="84"/>
    </row>
    <row r="18" spans="2:6" s="20" customFormat="1">
      <c r="B18" s="103"/>
      <c r="C18" s="103"/>
      <c r="D18" s="99" t="s">
        <v>439</v>
      </c>
      <c r="E18" s="76">
        <f>+'FIN_FUNC A'!D18</f>
        <v>3133070</v>
      </c>
      <c r="F18" s="70"/>
    </row>
    <row r="19" spans="2:6">
      <c r="B19" s="105"/>
      <c r="C19" s="105"/>
      <c r="D19" s="99" t="s">
        <v>440</v>
      </c>
      <c r="E19" s="76">
        <f>+'FIN_FUNC A'!D19</f>
        <v>13676770</v>
      </c>
      <c r="F19" s="70"/>
    </row>
    <row r="20" spans="2:6">
      <c r="B20" s="105"/>
      <c r="C20" s="105"/>
      <c r="D20" s="99" t="s">
        <v>441</v>
      </c>
      <c r="E20" s="76">
        <f>+'FIN_FUNC A'!D20</f>
        <v>19278760</v>
      </c>
      <c r="F20" s="70"/>
    </row>
    <row r="21" spans="2:6">
      <c r="B21" s="105"/>
      <c r="C21" s="105"/>
      <c r="D21" s="99" t="s">
        <v>448</v>
      </c>
      <c r="E21" s="76">
        <f>+'FIN_FUNC A'!D21</f>
        <v>0</v>
      </c>
      <c r="F21" s="70"/>
    </row>
    <row r="22" spans="2:6" s="7" customFormat="1">
      <c r="B22" s="101" t="s">
        <v>434</v>
      </c>
      <c r="C22" s="101" t="s">
        <v>347</v>
      </c>
      <c r="D22" s="98" t="s">
        <v>442</v>
      </c>
      <c r="E22" s="106">
        <v>0</v>
      </c>
      <c r="F22" s="81"/>
    </row>
    <row r="23" spans="2:6" s="7" customFormat="1">
      <c r="B23" s="101" t="s">
        <v>434</v>
      </c>
      <c r="C23" s="101" t="s">
        <v>362</v>
      </c>
      <c r="D23" s="98" t="s">
        <v>443</v>
      </c>
      <c r="E23" s="106">
        <f>SUM(E24:E25)</f>
        <v>21194570</v>
      </c>
      <c r="F23" s="81"/>
    </row>
    <row r="24" spans="2:6">
      <c r="B24" s="105"/>
      <c r="C24" s="105"/>
      <c r="D24" s="99" t="s">
        <v>444</v>
      </c>
      <c r="E24" s="88">
        <f>+'FIN_FUNC A'!D24</f>
        <v>21194570</v>
      </c>
      <c r="F24" s="70"/>
    </row>
    <row r="25" spans="2:6">
      <c r="B25" s="105"/>
      <c r="C25" s="105"/>
      <c r="D25" s="99" t="s">
        <v>445</v>
      </c>
      <c r="E25" s="76">
        <f>+'FIN_FUNC A'!D25</f>
        <v>0</v>
      </c>
      <c r="F25" s="70"/>
    </row>
    <row r="26" spans="2:6" s="7" customFormat="1">
      <c r="B26" s="101" t="s">
        <v>434</v>
      </c>
      <c r="C26" s="101" t="s">
        <v>446</v>
      </c>
      <c r="D26" s="98" t="s">
        <v>447</v>
      </c>
      <c r="E26" s="106">
        <f>SUM(E27)</f>
        <v>7582030</v>
      </c>
      <c r="F26" s="81"/>
    </row>
    <row r="27" spans="2:6">
      <c r="B27" s="105"/>
      <c r="C27" s="105"/>
      <c r="D27" s="99" t="s">
        <v>449</v>
      </c>
      <c r="E27" s="76">
        <f>+'FIN_FUNC A'!D27</f>
        <v>7582030</v>
      </c>
      <c r="F27" s="70"/>
    </row>
    <row r="28" spans="2:6" s="7" customFormat="1">
      <c r="B28" s="101" t="s">
        <v>434</v>
      </c>
      <c r="C28" s="101" t="s">
        <v>450</v>
      </c>
      <c r="D28" s="98" t="s">
        <v>451</v>
      </c>
      <c r="E28" s="106">
        <v>0</v>
      </c>
      <c r="F28" s="81"/>
    </row>
    <row r="29" spans="2:6" s="7" customFormat="1">
      <c r="B29" s="101" t="s">
        <v>434</v>
      </c>
      <c r="C29" s="101" t="s">
        <v>452</v>
      </c>
      <c r="D29" s="98" t="s">
        <v>453</v>
      </c>
      <c r="E29" s="106">
        <v>0</v>
      </c>
      <c r="F29" s="81"/>
    </row>
    <row r="30" spans="2:6" s="7" customFormat="1">
      <c r="B30" s="101" t="s">
        <v>434</v>
      </c>
      <c r="C30" s="101" t="s">
        <v>454</v>
      </c>
      <c r="D30" s="98" t="s">
        <v>455</v>
      </c>
      <c r="E30" s="106">
        <f>SUM(E31:E38)</f>
        <v>74602560</v>
      </c>
      <c r="F30" s="81"/>
    </row>
    <row r="31" spans="2:6">
      <c r="B31" s="97"/>
      <c r="C31" s="97"/>
      <c r="D31" s="99" t="s">
        <v>456</v>
      </c>
      <c r="E31" s="76">
        <f>+'FIN_FUNC A'!D31</f>
        <v>2939910</v>
      </c>
      <c r="F31" s="70"/>
    </row>
    <row r="32" spans="2:6">
      <c r="B32" s="97"/>
      <c r="C32" s="97"/>
      <c r="D32" s="99" t="s">
        <v>457</v>
      </c>
      <c r="E32" s="76">
        <f>+'FIN_FUNC A'!D32</f>
        <v>3134310</v>
      </c>
      <c r="F32" s="70"/>
    </row>
    <row r="33" spans="2:6">
      <c r="B33" s="97"/>
      <c r="C33" s="97"/>
      <c r="D33" s="99" t="s">
        <v>458</v>
      </c>
      <c r="E33" s="76">
        <f>+'FIN_FUNC A'!D33</f>
        <v>1585710</v>
      </c>
      <c r="F33" s="70"/>
    </row>
    <row r="34" spans="2:6" s="83" customFormat="1">
      <c r="B34" s="102"/>
      <c r="C34" s="102"/>
      <c r="D34" s="99" t="s">
        <v>459</v>
      </c>
      <c r="E34" s="76">
        <f>+'FIN_FUNC A'!D34</f>
        <v>4736560</v>
      </c>
      <c r="F34" s="70"/>
    </row>
    <row r="35" spans="2:6" s="83" customFormat="1">
      <c r="B35" s="102"/>
      <c r="C35" s="102"/>
      <c r="D35" s="99" t="s">
        <v>535</v>
      </c>
      <c r="E35" s="76">
        <f>+'FIN_FUNC A'!D35</f>
        <v>8113710</v>
      </c>
      <c r="F35" s="70"/>
    </row>
    <row r="36" spans="2:6">
      <c r="B36" s="105"/>
      <c r="C36" s="105"/>
      <c r="D36" s="99" t="s">
        <v>460</v>
      </c>
      <c r="E36" s="76">
        <f>+'FIN_FUNC A'!D36</f>
        <v>7069370</v>
      </c>
      <c r="F36" s="70"/>
    </row>
    <row r="37" spans="2:6">
      <c r="B37" s="105"/>
      <c r="C37" s="105"/>
      <c r="D37" s="99" t="s">
        <v>461</v>
      </c>
      <c r="E37" s="76">
        <f>+'FIN_FUNC A'!D37</f>
        <v>5224610</v>
      </c>
      <c r="F37" s="70"/>
    </row>
    <row r="38" spans="2:6">
      <c r="B38" s="105"/>
      <c r="C38" s="105"/>
      <c r="D38" s="99" t="s">
        <v>462</v>
      </c>
      <c r="E38" s="76">
        <f>+'FIN_FUNC A'!D38</f>
        <v>41798380</v>
      </c>
      <c r="F38" s="70"/>
    </row>
    <row r="39" spans="2:6">
      <c r="B39" s="101" t="s">
        <v>463</v>
      </c>
      <c r="C39" s="97"/>
      <c r="D39" s="399" t="s">
        <v>464</v>
      </c>
      <c r="E39" s="400"/>
      <c r="F39" s="72">
        <f>+E40+E41</f>
        <v>7251000</v>
      </c>
    </row>
    <row r="40" spans="2:6" s="7" customFormat="1">
      <c r="B40" s="101" t="s">
        <v>463</v>
      </c>
      <c r="C40" s="101" t="s">
        <v>74</v>
      </c>
      <c r="D40" s="98" t="s">
        <v>465</v>
      </c>
      <c r="E40" s="106">
        <v>0</v>
      </c>
      <c r="F40" s="81"/>
    </row>
    <row r="41" spans="2:6" s="7" customFormat="1">
      <c r="B41" s="101" t="s">
        <v>463</v>
      </c>
      <c r="C41" s="101" t="s">
        <v>454</v>
      </c>
      <c r="D41" s="98" t="s">
        <v>466</v>
      </c>
      <c r="E41" s="106">
        <f>SUM(E42)</f>
        <v>7251000</v>
      </c>
      <c r="F41" s="81"/>
    </row>
    <row r="42" spans="2:6">
      <c r="B42" s="105"/>
      <c r="C42" s="105"/>
      <c r="D42" s="99" t="s">
        <v>467</v>
      </c>
      <c r="E42" s="76">
        <f>+'FIN_FUNC A'!D42</f>
        <v>7251000</v>
      </c>
      <c r="F42" s="70"/>
    </row>
    <row r="43" spans="2:6">
      <c r="B43" s="101" t="s">
        <v>468</v>
      </c>
      <c r="C43" s="97"/>
      <c r="D43" s="399" t="s">
        <v>277</v>
      </c>
      <c r="E43" s="400"/>
      <c r="F43" s="72">
        <f>+E44+E46</f>
        <v>131222630</v>
      </c>
    </row>
    <row r="44" spans="2:6" s="7" customFormat="1">
      <c r="B44" s="101" t="s">
        <v>468</v>
      </c>
      <c r="C44" s="101" t="s">
        <v>74</v>
      </c>
      <c r="D44" s="98" t="s">
        <v>469</v>
      </c>
      <c r="E44" s="106">
        <f>+E45</f>
        <v>15198360</v>
      </c>
      <c r="F44" s="81"/>
    </row>
    <row r="45" spans="2:6">
      <c r="B45" s="105"/>
      <c r="C45" s="97"/>
      <c r="D45" s="99" t="s">
        <v>470</v>
      </c>
      <c r="E45" s="76">
        <f>+'FIN_FUNC A'!D45</f>
        <v>15198360</v>
      </c>
      <c r="F45" s="70"/>
    </row>
    <row r="46" spans="2:6" s="7" customFormat="1">
      <c r="B46" s="101" t="s">
        <v>468</v>
      </c>
      <c r="C46" s="101" t="s">
        <v>94</v>
      </c>
      <c r="D46" s="98" t="s">
        <v>471</v>
      </c>
      <c r="E46" s="106">
        <f>SUM(E47:E49)</f>
        <v>116024270</v>
      </c>
      <c r="F46" s="81"/>
    </row>
    <row r="47" spans="2:6">
      <c r="B47" s="105"/>
      <c r="C47" s="105"/>
      <c r="D47" s="99" t="s">
        <v>472</v>
      </c>
      <c r="E47" s="76">
        <f>+'FIN_FUNC A'!D47</f>
        <v>14233040</v>
      </c>
      <c r="F47" s="70"/>
    </row>
    <row r="48" spans="2:6">
      <c r="B48" s="105"/>
      <c r="C48" s="105"/>
      <c r="D48" s="99" t="s">
        <v>473</v>
      </c>
      <c r="E48" s="76">
        <f>+'FIN_FUNC A'!D48</f>
        <v>80147060</v>
      </c>
      <c r="F48" s="70"/>
    </row>
    <row r="49" spans="2:6">
      <c r="B49" s="105"/>
      <c r="C49" s="105"/>
      <c r="D49" s="99" t="s">
        <v>474</v>
      </c>
      <c r="E49" s="76">
        <f>+'FIN_FUNC A'!D49</f>
        <v>21644170</v>
      </c>
      <c r="F49" s="70"/>
    </row>
    <row r="50" spans="2:6" s="7" customFormat="1">
      <c r="B50" s="101" t="s">
        <v>468</v>
      </c>
      <c r="C50" s="101" t="s">
        <v>454</v>
      </c>
      <c r="D50" s="98" t="s">
        <v>475</v>
      </c>
      <c r="E50" s="106">
        <v>0</v>
      </c>
      <c r="F50" s="81"/>
    </row>
    <row r="51" spans="2:6">
      <c r="B51" s="101" t="s">
        <v>476</v>
      </c>
      <c r="C51" s="97"/>
      <c r="D51" s="399" t="s">
        <v>477</v>
      </c>
      <c r="E51" s="400"/>
      <c r="F51" s="72">
        <f>+E52+E54+E61+E62</f>
        <v>29106630</v>
      </c>
    </row>
    <row r="52" spans="2:6" s="7" customFormat="1">
      <c r="B52" s="101" t="s">
        <v>476</v>
      </c>
      <c r="C52" s="101" t="s">
        <v>74</v>
      </c>
      <c r="D52" s="98" t="s">
        <v>479</v>
      </c>
      <c r="E52" s="106">
        <f>+E53</f>
        <v>22914200</v>
      </c>
      <c r="F52" s="81"/>
    </row>
    <row r="53" spans="2:6">
      <c r="B53" s="105"/>
      <c r="C53" s="105"/>
      <c r="D53" s="99" t="s">
        <v>478</v>
      </c>
      <c r="E53" s="76">
        <f>+'FIN_FUNC A'!D53</f>
        <v>22914200</v>
      </c>
      <c r="F53" s="70"/>
    </row>
    <row r="54" spans="2:6" s="7" customFormat="1">
      <c r="B54" s="101" t="s">
        <v>476</v>
      </c>
      <c r="C54" s="101" t="s">
        <v>94</v>
      </c>
      <c r="D54" s="98" t="s">
        <v>483</v>
      </c>
      <c r="E54" s="106">
        <f>+E60</f>
        <v>6192430</v>
      </c>
      <c r="F54" s="81"/>
    </row>
    <row r="55" spans="2:6" s="7" customFormat="1">
      <c r="B55" s="402" t="s">
        <v>481</v>
      </c>
      <c r="C55" s="402"/>
      <c r="D55" s="402"/>
      <c r="E55" s="403"/>
      <c r="F55" s="72">
        <f>SUM(F13:F54)</f>
        <v>327706940</v>
      </c>
    </row>
    <row r="56" spans="2:6">
      <c r="B56" s="96"/>
      <c r="C56" s="96"/>
    </row>
    <row r="57" spans="2:6">
      <c r="B57" s="401" t="s">
        <v>430</v>
      </c>
      <c r="C57" s="401"/>
      <c r="D57" s="71" t="s">
        <v>3</v>
      </c>
      <c r="E57" s="71" t="s">
        <v>432</v>
      </c>
      <c r="F57" s="71" t="s">
        <v>433</v>
      </c>
    </row>
    <row r="58" spans="2:6" s="9" customFormat="1" ht="5.25" customHeight="1">
      <c r="B58" s="87"/>
      <c r="C58" s="87"/>
      <c r="D58"/>
      <c r="E58" s="80"/>
      <c r="F58" s="80"/>
    </row>
    <row r="59" spans="2:6">
      <c r="B59" s="105"/>
      <c r="C59" s="105"/>
      <c r="D59" s="107" t="s">
        <v>481</v>
      </c>
      <c r="E59" s="76"/>
      <c r="F59" s="108">
        <f>+F55</f>
        <v>327706940</v>
      </c>
    </row>
    <row r="60" spans="2:6">
      <c r="B60" s="105"/>
      <c r="C60" s="105"/>
      <c r="D60" s="99" t="s">
        <v>482</v>
      </c>
      <c r="E60" s="76">
        <f>+'FIN_FUNC A'!D60</f>
        <v>6192430</v>
      </c>
      <c r="F60" s="70"/>
    </row>
    <row r="61" spans="2:6" s="7" customFormat="1">
      <c r="B61" s="101" t="s">
        <v>476</v>
      </c>
      <c r="C61" s="101" t="s">
        <v>347</v>
      </c>
      <c r="D61" s="98" t="s">
        <v>480</v>
      </c>
      <c r="E61" s="106">
        <v>0</v>
      </c>
      <c r="F61" s="81"/>
    </row>
    <row r="62" spans="2:6" s="7" customFormat="1">
      <c r="B62" s="101" t="s">
        <v>476</v>
      </c>
      <c r="C62" s="101" t="s">
        <v>454</v>
      </c>
      <c r="D62" s="98" t="s">
        <v>484</v>
      </c>
      <c r="E62" s="106">
        <v>0</v>
      </c>
      <c r="F62" s="81"/>
    </row>
    <row r="63" spans="2:6">
      <c r="B63" s="101" t="s">
        <v>485</v>
      </c>
      <c r="C63" s="97"/>
      <c r="D63" s="399" t="s">
        <v>486</v>
      </c>
      <c r="E63" s="400"/>
      <c r="F63" s="72">
        <f>+E64+E65+E66+E67+E68+E69+E71+E72+E74+E75+E76+E77</f>
        <v>58026040</v>
      </c>
    </row>
    <row r="64" spans="2:6" s="7" customFormat="1">
      <c r="B64" s="101" t="s">
        <v>485</v>
      </c>
      <c r="C64" s="101" t="s">
        <v>74</v>
      </c>
      <c r="D64" s="98" t="s">
        <v>487</v>
      </c>
      <c r="E64" s="106">
        <v>0</v>
      </c>
      <c r="F64" s="81"/>
    </row>
    <row r="65" spans="2:6" s="7" customFormat="1">
      <c r="B65" s="101" t="s">
        <v>485</v>
      </c>
      <c r="C65" s="101" t="s">
        <v>79</v>
      </c>
      <c r="D65" s="98" t="s">
        <v>488</v>
      </c>
      <c r="E65" s="106">
        <v>0</v>
      </c>
      <c r="F65" s="81"/>
    </row>
    <row r="66" spans="2:6">
      <c r="B66" s="101" t="s">
        <v>485</v>
      </c>
      <c r="C66" s="101" t="s">
        <v>94</v>
      </c>
      <c r="D66" s="98" t="s">
        <v>489</v>
      </c>
      <c r="E66" s="106">
        <v>0</v>
      </c>
      <c r="F66" s="70"/>
    </row>
    <row r="67" spans="2:6">
      <c r="B67" s="101" t="s">
        <v>485</v>
      </c>
      <c r="C67" s="101" t="s">
        <v>347</v>
      </c>
      <c r="D67" s="98" t="s">
        <v>490</v>
      </c>
      <c r="E67" s="106">
        <v>0</v>
      </c>
      <c r="F67" s="70"/>
    </row>
    <row r="68" spans="2:6">
      <c r="B68" s="101" t="s">
        <v>485</v>
      </c>
      <c r="C68" s="101" t="s">
        <v>362</v>
      </c>
      <c r="D68" s="98" t="s">
        <v>491</v>
      </c>
      <c r="E68" s="106">
        <v>0</v>
      </c>
      <c r="F68" s="70"/>
    </row>
    <row r="69" spans="2:6" s="7" customFormat="1">
      <c r="B69" s="101" t="s">
        <v>485</v>
      </c>
      <c r="C69" s="101" t="s">
        <v>492</v>
      </c>
      <c r="D69" s="98" t="s">
        <v>493</v>
      </c>
      <c r="E69" s="106">
        <f>SUM(E70:E70)</f>
        <v>805750</v>
      </c>
      <c r="F69" s="81"/>
    </row>
    <row r="70" spans="2:6">
      <c r="B70" s="105"/>
      <c r="C70" s="105"/>
      <c r="D70" s="99" t="s">
        <v>493</v>
      </c>
      <c r="E70" s="76">
        <f>+'FIN_FUNC A'!D70</f>
        <v>805750</v>
      </c>
      <c r="F70" s="70"/>
    </row>
    <row r="71" spans="2:6" s="7" customFormat="1">
      <c r="B71" s="101" t="s">
        <v>485</v>
      </c>
      <c r="C71" s="101" t="s">
        <v>446</v>
      </c>
      <c r="D71" s="98" t="s">
        <v>481</v>
      </c>
      <c r="E71" s="106">
        <v>0</v>
      </c>
      <c r="F71" s="81"/>
    </row>
    <row r="72" spans="2:6" s="7" customFormat="1">
      <c r="B72" s="101" t="s">
        <v>485</v>
      </c>
      <c r="C72" s="101" t="s">
        <v>494</v>
      </c>
      <c r="D72" s="98" t="s">
        <v>495</v>
      </c>
      <c r="E72" s="106">
        <f>+E73</f>
        <v>48065740</v>
      </c>
      <c r="F72" s="81"/>
    </row>
    <row r="73" spans="2:6" s="7" customFormat="1">
      <c r="B73" s="101"/>
      <c r="C73" s="101"/>
      <c r="D73" s="99" t="s">
        <v>496</v>
      </c>
      <c r="E73" s="88">
        <f>+'FIN_FUNC A'!D73</f>
        <v>48065740</v>
      </c>
      <c r="F73" s="81"/>
    </row>
    <row r="74" spans="2:6" s="7" customFormat="1">
      <c r="B74" s="101" t="s">
        <v>485</v>
      </c>
      <c r="C74" s="101" t="s">
        <v>497</v>
      </c>
      <c r="D74" s="98" t="s">
        <v>327</v>
      </c>
      <c r="E74" s="106">
        <v>0</v>
      </c>
      <c r="F74" s="81"/>
    </row>
    <row r="75" spans="2:6" s="7" customFormat="1">
      <c r="B75" s="101" t="s">
        <v>485</v>
      </c>
      <c r="C75" s="101" t="s">
        <v>450</v>
      </c>
      <c r="D75" s="98" t="s">
        <v>498</v>
      </c>
      <c r="E75" s="106">
        <v>0</v>
      </c>
      <c r="F75" s="81"/>
    </row>
    <row r="76" spans="2:6" s="7" customFormat="1">
      <c r="B76" s="101" t="s">
        <v>485</v>
      </c>
      <c r="C76" s="101" t="s">
        <v>452</v>
      </c>
      <c r="D76" s="98" t="s">
        <v>499</v>
      </c>
      <c r="E76" s="106">
        <v>0</v>
      </c>
      <c r="F76" s="81"/>
    </row>
    <row r="77" spans="2:6" s="7" customFormat="1">
      <c r="B77" s="101" t="s">
        <v>485</v>
      </c>
      <c r="C77" s="101" t="s">
        <v>454</v>
      </c>
      <c r="D77" s="98" t="s">
        <v>500</v>
      </c>
      <c r="E77" s="106">
        <f>+E78</f>
        <v>9154550</v>
      </c>
      <c r="F77" s="81"/>
    </row>
    <row r="78" spans="2:6">
      <c r="B78" s="97"/>
      <c r="C78" s="97"/>
      <c r="D78" s="99" t="s">
        <v>501</v>
      </c>
      <c r="E78" s="76">
        <f>+'FIN_FUNC A'!D78</f>
        <v>9154550</v>
      </c>
      <c r="F78" s="70"/>
    </row>
    <row r="79" spans="2:6">
      <c r="B79" s="101" t="s">
        <v>502</v>
      </c>
      <c r="C79" s="97"/>
      <c r="D79" s="399" t="s">
        <v>503</v>
      </c>
      <c r="E79" s="400"/>
      <c r="F79" s="72">
        <f>+E80+E81+E83+E85+E87</f>
        <v>41671840</v>
      </c>
    </row>
    <row r="80" spans="2:6" s="7" customFormat="1">
      <c r="B80" s="101" t="s">
        <v>502</v>
      </c>
      <c r="C80" s="101" t="s">
        <v>74</v>
      </c>
      <c r="D80" s="98" t="s">
        <v>504</v>
      </c>
      <c r="E80" s="106">
        <v>0</v>
      </c>
      <c r="F80" s="81"/>
    </row>
    <row r="81" spans="2:6" s="7" customFormat="1">
      <c r="B81" s="101" t="s">
        <v>502</v>
      </c>
      <c r="C81" s="101" t="s">
        <v>94</v>
      </c>
      <c r="D81" s="98" t="s">
        <v>505</v>
      </c>
      <c r="E81" s="106">
        <f>+E82</f>
        <v>8770660</v>
      </c>
      <c r="F81" s="81"/>
    </row>
    <row r="82" spans="2:6">
      <c r="B82" s="105"/>
      <c r="C82" s="105"/>
      <c r="D82" s="99" t="s">
        <v>506</v>
      </c>
      <c r="E82" s="76">
        <f>+'FIN_FUNC A'!D82</f>
        <v>8770660</v>
      </c>
      <c r="F82" s="70"/>
    </row>
    <row r="83" spans="2:6" s="7" customFormat="1">
      <c r="B83" s="101" t="s">
        <v>502</v>
      </c>
      <c r="C83" s="101" t="s">
        <v>347</v>
      </c>
      <c r="D83" s="98" t="s">
        <v>507</v>
      </c>
      <c r="E83" s="106">
        <f>+E84</f>
        <v>12217610</v>
      </c>
      <c r="F83" s="81"/>
    </row>
    <row r="84" spans="2:6" s="7" customFormat="1">
      <c r="B84" s="101"/>
      <c r="C84" s="101"/>
      <c r="D84" s="99" t="s">
        <v>508</v>
      </c>
      <c r="E84" s="106">
        <f>+'FIN_FUNC A'!D84</f>
        <v>12217610</v>
      </c>
      <c r="F84" s="81"/>
    </row>
    <row r="85" spans="2:6" s="7" customFormat="1">
      <c r="B85" s="101" t="s">
        <v>502</v>
      </c>
      <c r="C85" s="101" t="s">
        <v>362</v>
      </c>
      <c r="D85" s="98" t="s">
        <v>509</v>
      </c>
      <c r="E85" s="106">
        <f>+E86</f>
        <v>20683570</v>
      </c>
      <c r="F85" s="81"/>
    </row>
    <row r="86" spans="2:6">
      <c r="B86" s="105"/>
      <c r="C86" s="105"/>
      <c r="D86" s="99" t="s">
        <v>510</v>
      </c>
      <c r="E86" s="76">
        <f>+'FIN_FUNC A'!D86</f>
        <v>20683570</v>
      </c>
      <c r="F86" s="70"/>
    </row>
    <row r="87" spans="2:6" s="7" customFormat="1">
      <c r="B87" s="101" t="s">
        <v>502</v>
      </c>
      <c r="C87" s="101" t="s">
        <v>454</v>
      </c>
      <c r="D87" s="98" t="s">
        <v>511</v>
      </c>
      <c r="E87" s="106">
        <v>0</v>
      </c>
      <c r="F87" s="81"/>
    </row>
    <row r="88" spans="2:6">
      <c r="B88" s="101" t="s">
        <v>512</v>
      </c>
      <c r="C88" s="97"/>
      <c r="D88" s="399" t="s">
        <v>513</v>
      </c>
      <c r="E88" s="400"/>
      <c r="F88" s="72">
        <f>+E89</f>
        <v>44552280</v>
      </c>
    </row>
    <row r="89" spans="2:6">
      <c r="B89" s="97" t="s">
        <v>512</v>
      </c>
      <c r="C89" s="97" t="s">
        <v>74</v>
      </c>
      <c r="D89" s="99" t="s">
        <v>514</v>
      </c>
      <c r="E89" s="76">
        <f>+'FIN_FUNC A'!D89</f>
        <v>44552280</v>
      </c>
      <c r="F89" s="70"/>
    </row>
    <row r="90" spans="2:6">
      <c r="B90" s="101" t="s">
        <v>515</v>
      </c>
      <c r="C90" s="97"/>
      <c r="D90" s="399" t="s">
        <v>858</v>
      </c>
      <c r="E90" s="400"/>
      <c r="F90" s="72">
        <f>+E91</f>
        <v>215531490</v>
      </c>
    </row>
    <row r="91" spans="2:6" s="7" customFormat="1">
      <c r="B91" s="101" t="s">
        <v>515</v>
      </c>
      <c r="C91" s="101" t="s">
        <v>74</v>
      </c>
      <c r="D91" s="98" t="s">
        <v>517</v>
      </c>
      <c r="E91" s="106">
        <f>SUM(E92:E99)</f>
        <v>215531490</v>
      </c>
      <c r="F91" s="81"/>
    </row>
    <row r="92" spans="2:6">
      <c r="B92" s="105"/>
      <c r="C92" s="105"/>
      <c r="D92" s="99" t="s">
        <v>518</v>
      </c>
      <c r="E92" s="76">
        <f>+'FIN_FUNC A'!D92</f>
        <v>3785330</v>
      </c>
      <c r="F92" s="70"/>
    </row>
    <row r="93" spans="2:6">
      <c r="B93" s="105"/>
      <c r="C93" s="105"/>
      <c r="D93" s="99" t="s">
        <v>519</v>
      </c>
      <c r="E93" s="76">
        <f>+'FIN_FUNC A'!D93</f>
        <v>9413470</v>
      </c>
      <c r="F93" s="70"/>
    </row>
    <row r="94" spans="2:6" s="7" customFormat="1">
      <c r="B94" s="101"/>
      <c r="C94" s="101"/>
      <c r="D94" s="99" t="s">
        <v>520</v>
      </c>
      <c r="E94" s="76">
        <f>+'FIN_FUNC A'!D94</f>
        <v>92955010</v>
      </c>
      <c r="F94" s="70"/>
    </row>
    <row r="95" spans="2:6">
      <c r="B95" s="101"/>
      <c r="C95" s="97"/>
      <c r="D95" s="99" t="s">
        <v>521</v>
      </c>
      <c r="E95" s="76">
        <f>+'FIN_FUNC A'!D95</f>
        <v>33643100</v>
      </c>
      <c r="F95" s="70"/>
    </row>
    <row r="96" spans="2:6">
      <c r="B96" s="101"/>
      <c r="C96" s="97"/>
      <c r="D96" s="99" t="s">
        <v>539</v>
      </c>
      <c r="E96" s="76">
        <f>+'FIN_FUNC A'!D96</f>
        <v>8718850</v>
      </c>
      <c r="F96" s="70"/>
    </row>
    <row r="97" spans="2:6" s="7" customFormat="1">
      <c r="B97" s="101"/>
      <c r="C97" s="101"/>
      <c r="D97" s="99" t="s">
        <v>522</v>
      </c>
      <c r="E97" s="76">
        <f>+'FIN_FUNC A'!D97</f>
        <v>4051970</v>
      </c>
      <c r="F97" s="81"/>
    </row>
    <row r="98" spans="2:6">
      <c r="B98" s="105"/>
      <c r="C98" s="105"/>
      <c r="D98" s="99" t="s">
        <v>523</v>
      </c>
      <c r="E98" s="76">
        <f>+'FIN_FUNC A'!D98</f>
        <v>55651870</v>
      </c>
      <c r="F98" s="70"/>
    </row>
    <row r="99" spans="2:6" s="7" customFormat="1">
      <c r="B99" s="101"/>
      <c r="C99" s="101"/>
      <c r="D99" s="99" t="s">
        <v>524</v>
      </c>
      <c r="E99" s="76">
        <f>+'FIN_FUNC A'!D99</f>
        <v>7311890</v>
      </c>
      <c r="F99" s="81"/>
    </row>
    <row r="100" spans="2:6" s="7" customFormat="1">
      <c r="B100" s="402" t="s">
        <v>239</v>
      </c>
      <c r="C100" s="402"/>
      <c r="D100" s="402"/>
      <c r="E100" s="403"/>
      <c r="F100" s="72">
        <f>SUM(F59:F99)</f>
        <v>687488590</v>
      </c>
    </row>
    <row r="101" spans="2:6">
      <c r="F101" s="94"/>
    </row>
    <row r="102" spans="2:6">
      <c r="F102" s="366"/>
    </row>
    <row r="103" spans="2:6">
      <c r="F103" s="94"/>
    </row>
  </sheetData>
  <mergeCells count="14">
    <mergeCell ref="B11:C11"/>
    <mergeCell ref="B8:F8"/>
    <mergeCell ref="B9:F9"/>
    <mergeCell ref="D13:E13"/>
    <mergeCell ref="D39:E39"/>
    <mergeCell ref="D43:E43"/>
    <mergeCell ref="D51:E51"/>
    <mergeCell ref="B57:C57"/>
    <mergeCell ref="B100:E100"/>
    <mergeCell ref="B55:E55"/>
    <mergeCell ref="D63:E63"/>
    <mergeCell ref="D79:E79"/>
    <mergeCell ref="D88:E88"/>
    <mergeCell ref="D90:E90"/>
  </mergeCells>
  <printOptions horizontalCentered="1"/>
  <pageMargins left="0.70866141732283472" right="0.70866141732283472" top="0.55118110236220474" bottom="0.55118110236220474" header="0.31496062992125984" footer="0.31496062992125984"/>
  <pageSetup paperSize="9" scale="91" orientation="portrait" r:id="rId1"/>
  <rowBreaks count="1" manualBreakCount="1">
    <brk id="55" max="16383" man="1"/>
  </rowBreaks>
  <drawing r:id="rId2"/>
</worksheet>
</file>

<file path=xl/worksheets/sheet25.xml><?xml version="1.0" encoding="utf-8"?>
<worksheet xmlns="http://schemas.openxmlformats.org/spreadsheetml/2006/main" xmlns:r="http://schemas.openxmlformats.org/officeDocument/2006/relationships">
  <dimension ref="A1:O103"/>
  <sheetViews>
    <sheetView workbookViewId="0">
      <selection activeCell="A7" sqref="A7"/>
    </sheetView>
  </sheetViews>
  <sheetFormatPr baseColWidth="10" defaultRowHeight="12.75"/>
  <cols>
    <col min="1" max="1" width="5" style="52" customWidth="1"/>
    <col min="2" max="2" width="4.5703125" style="52" customWidth="1"/>
    <col min="3" max="3" width="45.140625" style="20" customWidth="1"/>
    <col min="4" max="4" width="18.42578125" style="20" customWidth="1"/>
    <col min="5" max="5" width="17.5703125" style="20" bestFit="1" customWidth="1"/>
    <col min="6" max="6" width="15.85546875" style="20" customWidth="1"/>
    <col min="7" max="7" width="16.85546875" style="20" bestFit="1" customWidth="1"/>
    <col min="8" max="8" width="17" style="20" bestFit="1" customWidth="1"/>
    <col min="9" max="9" width="14.140625" style="20" bestFit="1" customWidth="1"/>
    <col min="10" max="10" width="21.140625" style="20" bestFit="1" customWidth="1"/>
    <col min="11" max="11" width="21.28515625" style="20" bestFit="1" customWidth="1"/>
    <col min="12" max="12" width="14.42578125" style="20" bestFit="1" customWidth="1"/>
    <col min="13" max="13" width="17.7109375" style="20" bestFit="1" customWidth="1"/>
    <col min="14" max="14" width="15.85546875" style="20" bestFit="1" customWidth="1"/>
    <col min="15" max="15" width="11.7109375" style="20" bestFit="1" customWidth="1"/>
    <col min="16" max="16384" width="11.42578125" style="20"/>
  </cols>
  <sheetData>
    <row r="1" spans="1:15" s="1" customFormat="1">
      <c r="A1" s="95"/>
      <c r="B1" s="95"/>
      <c r="C1" s="20"/>
    </row>
    <row r="2" spans="1:15" s="1" customFormat="1">
      <c r="A2" s="95"/>
      <c r="B2" s="95"/>
    </row>
    <row r="3" spans="1:15" s="1" customFormat="1">
      <c r="A3" s="95"/>
      <c r="B3" s="95"/>
    </row>
    <row r="4" spans="1:15" s="1" customFormat="1">
      <c r="A4" s="95"/>
      <c r="B4" s="95"/>
    </row>
    <row r="5" spans="1:15" s="1" customFormat="1" ht="13.5" thickBot="1">
      <c r="A5" s="100"/>
      <c r="B5" s="100"/>
      <c r="C5" s="6"/>
      <c r="D5" s="6"/>
      <c r="E5" s="6"/>
      <c r="F5" s="6"/>
      <c r="G5" s="6"/>
      <c r="H5" s="6"/>
      <c r="I5" s="6"/>
      <c r="J5" s="6"/>
      <c r="K5" s="6"/>
      <c r="L5" s="6"/>
      <c r="M5" s="6"/>
      <c r="N5" s="6"/>
    </row>
    <row r="6" spans="1:15" ht="13.5" thickTop="1"/>
    <row r="7" spans="1:15">
      <c r="A7" s="104" t="s">
        <v>867</v>
      </c>
      <c r="B7" s="250"/>
    </row>
    <row r="8" spans="1:15">
      <c r="A8" s="391" t="s">
        <v>747</v>
      </c>
      <c r="B8" s="391"/>
      <c r="C8" s="391"/>
      <c r="D8" s="391"/>
      <c r="E8" s="391"/>
      <c r="F8" s="391"/>
      <c r="G8" s="391"/>
      <c r="H8" s="391"/>
      <c r="I8" s="391"/>
      <c r="J8" s="391"/>
      <c r="K8" s="391"/>
      <c r="L8" s="391"/>
      <c r="M8" s="391"/>
      <c r="N8" s="391"/>
    </row>
    <row r="9" spans="1:15">
      <c r="A9" s="391" t="s">
        <v>429</v>
      </c>
      <c r="B9" s="391"/>
      <c r="C9" s="391"/>
      <c r="D9" s="391"/>
      <c r="E9" s="391"/>
      <c r="F9" s="391"/>
      <c r="G9" s="391"/>
      <c r="H9" s="391"/>
      <c r="I9" s="391"/>
      <c r="J9" s="391"/>
      <c r="K9" s="391"/>
      <c r="L9" s="391"/>
      <c r="M9" s="391"/>
      <c r="N9" s="391"/>
    </row>
    <row r="11" spans="1:15" ht="25.5">
      <c r="A11" s="406" t="s">
        <v>430</v>
      </c>
      <c r="B11" s="406"/>
      <c r="C11" s="251" t="s">
        <v>3</v>
      </c>
      <c r="D11" s="252" t="s">
        <v>525</v>
      </c>
      <c r="E11" s="252" t="s">
        <v>526</v>
      </c>
      <c r="F11" s="252" t="s">
        <v>527</v>
      </c>
      <c r="G11" s="252" t="s">
        <v>324</v>
      </c>
      <c r="H11" s="252" t="s">
        <v>528</v>
      </c>
      <c r="I11" s="252" t="s">
        <v>529</v>
      </c>
      <c r="J11" s="252" t="s">
        <v>530</v>
      </c>
      <c r="K11" s="252" t="s">
        <v>531</v>
      </c>
      <c r="L11" s="252" t="s">
        <v>532</v>
      </c>
      <c r="M11" s="252" t="s">
        <v>533</v>
      </c>
      <c r="N11" s="252" t="s">
        <v>534</v>
      </c>
    </row>
    <row r="12" spans="1:15" s="52" customFormat="1" ht="7.5" customHeight="1">
      <c r="A12" s="253"/>
      <c r="B12" s="253"/>
      <c r="C12" s="20"/>
    </row>
    <row r="13" spans="1:15">
      <c r="A13" s="254">
        <v>1</v>
      </c>
      <c r="B13" s="103"/>
      <c r="C13" s="255" t="s">
        <v>431</v>
      </c>
      <c r="D13" s="256">
        <f>+D14+D22+D23+D26+D28+D29+D30</f>
        <v>160126680</v>
      </c>
      <c r="E13" s="256">
        <f t="shared" ref="E13:N13" si="0">+E14+E22+E23+E26+E28+E29+E30</f>
        <v>96213870</v>
      </c>
      <c r="F13" s="256">
        <f t="shared" si="0"/>
        <v>3667620</v>
      </c>
      <c r="G13" s="256">
        <f t="shared" si="0"/>
        <v>52061380</v>
      </c>
      <c r="H13" s="256">
        <f t="shared" si="0"/>
        <v>833650</v>
      </c>
      <c r="I13" s="256">
        <f t="shared" si="0"/>
        <v>2148590</v>
      </c>
      <c r="J13" s="256">
        <f t="shared" si="0"/>
        <v>3816650</v>
      </c>
      <c r="K13" s="256">
        <f t="shared" si="0"/>
        <v>0</v>
      </c>
      <c r="L13" s="256">
        <f t="shared" si="0"/>
        <v>0</v>
      </c>
      <c r="M13" s="256">
        <f t="shared" si="0"/>
        <v>1384920</v>
      </c>
      <c r="N13" s="256">
        <f t="shared" si="0"/>
        <v>0</v>
      </c>
    </row>
    <row r="14" spans="1:15" s="91" customFormat="1">
      <c r="A14" s="254" t="s">
        <v>434</v>
      </c>
      <c r="B14" s="254" t="s">
        <v>94</v>
      </c>
      <c r="C14" s="257" t="s">
        <v>435</v>
      </c>
      <c r="D14" s="258">
        <f>SUM(D15:D21)</f>
        <v>56747520</v>
      </c>
      <c r="E14" s="259">
        <f>SUM(E15:E21)</f>
        <v>27927650</v>
      </c>
      <c r="F14" s="259">
        <f t="shared" ref="F14:N14" si="1">SUM(F15:F21)</f>
        <v>1406650</v>
      </c>
      <c r="G14" s="259">
        <f t="shared" si="1"/>
        <v>25846540</v>
      </c>
      <c r="H14" s="259">
        <f t="shared" si="1"/>
        <v>833650</v>
      </c>
      <c r="I14" s="259">
        <f t="shared" si="1"/>
        <v>0</v>
      </c>
      <c r="J14" s="259">
        <f t="shared" si="1"/>
        <v>733030</v>
      </c>
      <c r="K14" s="259">
        <f t="shared" si="1"/>
        <v>0</v>
      </c>
      <c r="L14" s="259">
        <f t="shared" si="1"/>
        <v>0</v>
      </c>
      <c r="M14" s="259">
        <f t="shared" si="1"/>
        <v>0</v>
      </c>
      <c r="N14" s="259">
        <f t="shared" si="1"/>
        <v>0</v>
      </c>
      <c r="O14" s="260"/>
    </row>
    <row r="15" spans="1:15" s="264" customFormat="1">
      <c r="A15" s="261"/>
      <c r="B15" s="261"/>
      <c r="C15" s="99" t="s">
        <v>436</v>
      </c>
      <c r="D15" s="262">
        <f>SUM(E15:N15)</f>
        <v>4529890</v>
      </c>
      <c r="E15" s="85">
        <f>+HAC!C15</f>
        <v>3087390</v>
      </c>
      <c r="F15" s="85">
        <f>+HAC!C16</f>
        <v>58060</v>
      </c>
      <c r="G15" s="85">
        <f>+HAC!C17</f>
        <v>550790</v>
      </c>
      <c r="H15" s="85">
        <f>+HAC!C18</f>
        <v>833650</v>
      </c>
      <c r="I15" s="85">
        <f>+HAC!C19</f>
        <v>0</v>
      </c>
      <c r="J15" s="85">
        <f>+HAC!C21</f>
        <v>0</v>
      </c>
      <c r="K15" s="85">
        <f>+HAC!C22</f>
        <v>0</v>
      </c>
      <c r="L15" s="85">
        <f>+HAC!C23</f>
        <v>0</v>
      </c>
      <c r="M15" s="85">
        <f>+HAC!C24</f>
        <v>0</v>
      </c>
      <c r="N15" s="85">
        <v>0</v>
      </c>
      <c r="O15" s="263"/>
    </row>
    <row r="16" spans="1:15">
      <c r="A16" s="103"/>
      <c r="B16" s="103"/>
      <c r="C16" s="99" t="s">
        <v>437</v>
      </c>
      <c r="D16" s="262">
        <f t="shared" ref="D16:D21" si="2">SUM(E16:N16)</f>
        <v>3018140</v>
      </c>
      <c r="E16" s="85">
        <f>+HAC!D15</f>
        <v>2905730</v>
      </c>
      <c r="F16" s="85">
        <f>+HAC!D16</f>
        <v>38760</v>
      </c>
      <c r="G16" s="85">
        <f>+HAC!D17</f>
        <v>31760</v>
      </c>
      <c r="H16" s="85">
        <f>+HAC!D18</f>
        <v>0</v>
      </c>
      <c r="I16" s="85">
        <f>+HAC!D19</f>
        <v>0</v>
      </c>
      <c r="J16" s="85">
        <f>+HAC!D21</f>
        <v>41890</v>
      </c>
      <c r="K16" s="85">
        <f>+HAC!D22</f>
        <v>0</v>
      </c>
      <c r="L16" s="85">
        <f>+HAC!D23</f>
        <v>0</v>
      </c>
      <c r="M16" s="85">
        <f>+HAC!D24</f>
        <v>0</v>
      </c>
      <c r="N16" s="85">
        <f>+HAC!D26</f>
        <v>0</v>
      </c>
    </row>
    <row r="17" spans="1:15">
      <c r="A17" s="103"/>
      <c r="B17" s="103"/>
      <c r="C17" s="99" t="s">
        <v>438</v>
      </c>
      <c r="D17" s="262">
        <f t="shared" si="2"/>
        <v>13110890</v>
      </c>
      <c r="E17" s="85">
        <f>+HAC!E15</f>
        <v>4291120</v>
      </c>
      <c r="F17" s="85">
        <f>+HAC!E16</f>
        <v>197630</v>
      </c>
      <c r="G17" s="85">
        <f>+HAC!E17</f>
        <v>8617760</v>
      </c>
      <c r="H17" s="85">
        <f>+HAC!E18</f>
        <v>0</v>
      </c>
      <c r="I17" s="85">
        <f>+HAC!E19</f>
        <v>0</v>
      </c>
      <c r="J17" s="85">
        <f>+HAC!E21</f>
        <v>4380</v>
      </c>
      <c r="K17" s="85">
        <f>+HAC!E22</f>
        <v>0</v>
      </c>
      <c r="L17" s="85">
        <f>+HAC!E23</f>
        <v>0</v>
      </c>
      <c r="M17" s="85">
        <f>+HAC!E24</f>
        <v>0</v>
      </c>
      <c r="N17" s="85">
        <f>+HAC!E26</f>
        <v>0</v>
      </c>
    </row>
    <row r="18" spans="1:15">
      <c r="A18" s="103"/>
      <c r="B18" s="103"/>
      <c r="C18" s="99" t="s">
        <v>439</v>
      </c>
      <c r="D18" s="262">
        <f t="shared" si="2"/>
        <v>3133070</v>
      </c>
      <c r="E18" s="85">
        <f>+HAC!F15</f>
        <v>2411490</v>
      </c>
      <c r="F18" s="85">
        <f>+HAC!F16</f>
        <v>15940</v>
      </c>
      <c r="G18" s="85">
        <f>+HAC!F17</f>
        <v>701510</v>
      </c>
      <c r="H18" s="85">
        <f>+HAC!F18</f>
        <v>0</v>
      </c>
      <c r="I18" s="85">
        <f>+HAC!F19</f>
        <v>0</v>
      </c>
      <c r="J18" s="85">
        <f>+HAC!F21</f>
        <v>4130</v>
      </c>
      <c r="K18" s="85">
        <f>+HAC!F22</f>
        <v>0</v>
      </c>
      <c r="L18" s="85">
        <f>+HAC!F23</f>
        <v>0</v>
      </c>
      <c r="M18" s="85">
        <f>+HAC!F24</f>
        <v>0</v>
      </c>
      <c r="N18" s="85">
        <f>+HAC!F26</f>
        <v>0</v>
      </c>
    </row>
    <row r="19" spans="1:15">
      <c r="A19" s="103"/>
      <c r="B19" s="103"/>
      <c r="C19" s="99" t="s">
        <v>440</v>
      </c>
      <c r="D19" s="262">
        <f t="shared" si="2"/>
        <v>13676770</v>
      </c>
      <c r="E19" s="85">
        <f>+HAC!G15</f>
        <v>7345300</v>
      </c>
      <c r="F19" s="85">
        <f>+HAC!G16</f>
        <v>190060</v>
      </c>
      <c r="G19" s="85">
        <f>+HAC!G17</f>
        <v>6105500</v>
      </c>
      <c r="H19" s="85">
        <f>+HAC!G18</f>
        <v>0</v>
      </c>
      <c r="I19" s="85">
        <f>+HAC!G19</f>
        <v>0</v>
      </c>
      <c r="J19" s="85">
        <f>+HAC!G21</f>
        <v>35910</v>
      </c>
      <c r="K19" s="85">
        <f>+HAC!G22</f>
        <v>0</v>
      </c>
      <c r="L19" s="85">
        <f>+HAC!G23</f>
        <v>0</v>
      </c>
      <c r="M19" s="85">
        <f>+HAC!G24</f>
        <v>0</v>
      </c>
      <c r="N19" s="85">
        <f>+HAC!G26</f>
        <v>0</v>
      </c>
    </row>
    <row r="20" spans="1:15">
      <c r="A20" s="103"/>
      <c r="B20" s="103"/>
      <c r="C20" s="99" t="s">
        <v>441</v>
      </c>
      <c r="D20" s="262">
        <f t="shared" si="2"/>
        <v>19278760</v>
      </c>
      <c r="E20" s="85">
        <f>+HAC!H15</f>
        <v>7886620</v>
      </c>
      <c r="F20" s="85">
        <f>+HAC!H16</f>
        <v>906200</v>
      </c>
      <c r="G20" s="85">
        <f>+HAC!H17</f>
        <v>9839220</v>
      </c>
      <c r="H20" s="85">
        <f>+HAC!H18</f>
        <v>0</v>
      </c>
      <c r="I20" s="85">
        <f>+HAC!H19</f>
        <v>0</v>
      </c>
      <c r="J20" s="85">
        <f>+HAC!H21</f>
        <v>646720</v>
      </c>
      <c r="K20" s="85">
        <f>+HAC!H22</f>
        <v>0</v>
      </c>
      <c r="L20" s="85">
        <f>+HAC!H23</f>
        <v>0</v>
      </c>
      <c r="M20" s="85">
        <f>+HAC!H24</f>
        <v>0</v>
      </c>
      <c r="N20" s="85">
        <f>+HAC!H26</f>
        <v>0</v>
      </c>
    </row>
    <row r="21" spans="1:15">
      <c r="A21" s="103"/>
      <c r="B21" s="103"/>
      <c r="C21" s="99" t="s">
        <v>448</v>
      </c>
      <c r="D21" s="262">
        <f t="shared" si="2"/>
        <v>0</v>
      </c>
      <c r="E21" s="85">
        <f>+HAC!I15</f>
        <v>0</v>
      </c>
      <c r="F21" s="85">
        <f>+HAC!I16</f>
        <v>0</v>
      </c>
      <c r="G21" s="85">
        <f>+HAC!I17</f>
        <v>0</v>
      </c>
      <c r="H21" s="85">
        <f>+HAC!I18</f>
        <v>0</v>
      </c>
      <c r="I21" s="85">
        <f>+HAC!I19</f>
        <v>0</v>
      </c>
      <c r="J21" s="85">
        <f>+HAC!I21</f>
        <v>0</v>
      </c>
      <c r="K21" s="85">
        <f>+HAC!I22</f>
        <v>0</v>
      </c>
      <c r="L21" s="85">
        <f>+HAC!I23</f>
        <v>0</v>
      </c>
      <c r="M21" s="85">
        <f>+HAC!I24</f>
        <v>0</v>
      </c>
      <c r="N21" s="85">
        <f>+HAC!I26</f>
        <v>0</v>
      </c>
    </row>
    <row r="22" spans="1:15" s="91" customFormat="1">
      <c r="A22" s="254" t="s">
        <v>434</v>
      </c>
      <c r="B22" s="254" t="s">
        <v>347</v>
      </c>
      <c r="C22" s="257" t="s">
        <v>442</v>
      </c>
      <c r="D22" s="258">
        <v>0</v>
      </c>
      <c r="E22" s="259">
        <v>0</v>
      </c>
      <c r="F22" s="259">
        <v>0</v>
      </c>
      <c r="G22" s="259">
        <v>0</v>
      </c>
      <c r="H22" s="259">
        <v>0</v>
      </c>
      <c r="I22" s="259">
        <v>0</v>
      </c>
      <c r="J22" s="259">
        <v>0</v>
      </c>
      <c r="K22" s="259">
        <v>0</v>
      </c>
      <c r="L22" s="259">
        <v>0</v>
      </c>
      <c r="M22" s="259">
        <v>0</v>
      </c>
      <c r="N22" s="259">
        <v>0</v>
      </c>
    </row>
    <row r="23" spans="1:15" s="91" customFormat="1">
      <c r="A23" s="254" t="s">
        <v>434</v>
      </c>
      <c r="B23" s="254" t="s">
        <v>362</v>
      </c>
      <c r="C23" s="257" t="s">
        <v>443</v>
      </c>
      <c r="D23" s="258">
        <f>SUM(D24:D25)</f>
        <v>21194570</v>
      </c>
      <c r="E23" s="259">
        <f>SUM(E24:E25)</f>
        <v>18711770</v>
      </c>
      <c r="F23" s="259">
        <f t="shared" ref="F23:N23" si="3">SUM(F24:F25)</f>
        <v>364530</v>
      </c>
      <c r="G23" s="259">
        <f t="shared" si="3"/>
        <v>968170</v>
      </c>
      <c r="H23" s="259">
        <f t="shared" si="3"/>
        <v>0</v>
      </c>
      <c r="I23" s="259">
        <f t="shared" si="3"/>
        <v>445700</v>
      </c>
      <c r="J23" s="259">
        <f t="shared" si="3"/>
        <v>704400</v>
      </c>
      <c r="K23" s="259">
        <f t="shared" si="3"/>
        <v>0</v>
      </c>
      <c r="L23" s="259">
        <f t="shared" si="3"/>
        <v>0</v>
      </c>
      <c r="M23" s="259">
        <f t="shared" si="3"/>
        <v>0</v>
      </c>
      <c r="N23" s="259">
        <f t="shared" si="3"/>
        <v>0</v>
      </c>
      <c r="O23" s="260"/>
    </row>
    <row r="24" spans="1:15">
      <c r="A24" s="103"/>
      <c r="B24" s="103"/>
      <c r="C24" s="99" t="s">
        <v>444</v>
      </c>
      <c r="D24" s="262">
        <f>SUM(E24:N24)</f>
        <v>21194570</v>
      </c>
      <c r="E24" s="85">
        <f>+'OJURIS A'!C16</f>
        <v>18711770</v>
      </c>
      <c r="F24" s="85">
        <f>+'OJURIS A'!C19</f>
        <v>364530</v>
      </c>
      <c r="G24" s="85">
        <f>+'OJURIS A'!C20</f>
        <v>968170</v>
      </c>
      <c r="H24" s="85">
        <f>+'OJURIS A'!C21</f>
        <v>0</v>
      </c>
      <c r="I24" s="85">
        <f>+'OJURIS A'!C22</f>
        <v>445700</v>
      </c>
      <c r="J24" s="85">
        <f>++'OJURIS A'!C25</f>
        <v>704400</v>
      </c>
      <c r="K24" s="85">
        <f>+'OJURIS A'!C26</f>
        <v>0</v>
      </c>
      <c r="L24" s="85">
        <f>+'OJURIS A'!C27</f>
        <v>0</v>
      </c>
      <c r="M24" s="85">
        <f>+'OJURIS A'!C28</f>
        <v>0</v>
      </c>
      <c r="N24" s="85">
        <f>+'OJURIS A'!C30</f>
        <v>0</v>
      </c>
    </row>
    <row r="25" spans="1:15">
      <c r="A25" s="103"/>
      <c r="B25" s="103"/>
      <c r="C25" s="99" t="s">
        <v>445</v>
      </c>
      <c r="D25" s="262">
        <f>SUM(E25:N25)</f>
        <v>0</v>
      </c>
      <c r="E25" s="85">
        <v>0</v>
      </c>
      <c r="F25" s="85">
        <v>0</v>
      </c>
      <c r="G25" s="85">
        <v>0</v>
      </c>
      <c r="H25" s="85">
        <v>0</v>
      </c>
      <c r="I25" s="85">
        <v>0</v>
      </c>
      <c r="J25" s="85">
        <v>0</v>
      </c>
      <c r="K25" s="85">
        <v>0</v>
      </c>
      <c r="L25" s="85">
        <v>0</v>
      </c>
      <c r="M25" s="85">
        <v>0</v>
      </c>
      <c r="N25" s="85">
        <v>0</v>
      </c>
    </row>
    <row r="26" spans="1:15" s="91" customFormat="1">
      <c r="A26" s="254" t="s">
        <v>434</v>
      </c>
      <c r="B26" s="254" t="s">
        <v>446</v>
      </c>
      <c r="C26" s="257" t="s">
        <v>447</v>
      </c>
      <c r="D26" s="258">
        <f>SUM(D27)</f>
        <v>7582030</v>
      </c>
      <c r="E26" s="258">
        <f t="shared" ref="E26:N26" si="4">SUM(E27)</f>
        <v>7370430</v>
      </c>
      <c r="F26" s="258">
        <f t="shared" si="4"/>
        <v>52980</v>
      </c>
      <c r="G26" s="258">
        <f t="shared" si="4"/>
        <v>140580</v>
      </c>
      <c r="H26" s="258">
        <f t="shared" si="4"/>
        <v>0</v>
      </c>
      <c r="I26" s="258">
        <f t="shared" si="4"/>
        <v>0</v>
      </c>
      <c r="J26" s="258">
        <f t="shared" si="4"/>
        <v>18040</v>
      </c>
      <c r="K26" s="258">
        <f t="shared" si="4"/>
        <v>0</v>
      </c>
      <c r="L26" s="258">
        <f t="shared" si="4"/>
        <v>0</v>
      </c>
      <c r="M26" s="258">
        <f t="shared" si="4"/>
        <v>0</v>
      </c>
      <c r="N26" s="258">
        <f t="shared" si="4"/>
        <v>0</v>
      </c>
      <c r="O26" s="260"/>
    </row>
    <row r="27" spans="1:15">
      <c r="A27" s="103"/>
      <c r="B27" s="103"/>
      <c r="C27" s="99" t="s">
        <v>449</v>
      </c>
      <c r="D27" s="262">
        <f>SUM(E27:N27)</f>
        <v>7582030</v>
      </c>
      <c r="E27" s="85">
        <f>+'OJURIS A'!D16</f>
        <v>7370430</v>
      </c>
      <c r="F27" s="85">
        <f>+'OJURIS A'!D19</f>
        <v>52980</v>
      </c>
      <c r="G27" s="85">
        <f>+'OJURIS A'!D20</f>
        <v>140580</v>
      </c>
      <c r="H27" s="85">
        <f>+'OJURIS A'!D21</f>
        <v>0</v>
      </c>
      <c r="I27" s="85">
        <f>+'OJURIS A'!D22</f>
        <v>0</v>
      </c>
      <c r="J27" s="85">
        <f>+'OJURIS A'!D25</f>
        <v>18040</v>
      </c>
      <c r="K27" s="85">
        <f>+'OJURIS A'!D26</f>
        <v>0</v>
      </c>
      <c r="L27" s="85">
        <f>+'OJURIS A'!D27</f>
        <v>0</v>
      </c>
      <c r="M27" s="85">
        <f>+'OJURIS A'!D28</f>
        <v>0</v>
      </c>
      <c r="N27" s="85">
        <f>+'OJURIS A'!D30</f>
        <v>0</v>
      </c>
    </row>
    <row r="28" spans="1:15" s="91" customFormat="1">
      <c r="A28" s="254" t="s">
        <v>434</v>
      </c>
      <c r="B28" s="254" t="s">
        <v>450</v>
      </c>
      <c r="C28" s="257" t="s">
        <v>451</v>
      </c>
      <c r="D28" s="258">
        <v>0</v>
      </c>
      <c r="E28" s="259">
        <v>0</v>
      </c>
      <c r="F28" s="259">
        <v>0</v>
      </c>
      <c r="G28" s="259">
        <v>0</v>
      </c>
      <c r="H28" s="259">
        <v>0</v>
      </c>
      <c r="I28" s="259">
        <v>0</v>
      </c>
      <c r="J28" s="259">
        <v>0</v>
      </c>
      <c r="K28" s="259">
        <v>0</v>
      </c>
      <c r="L28" s="259">
        <v>0</v>
      </c>
      <c r="M28" s="259">
        <v>0</v>
      </c>
      <c r="N28" s="259">
        <v>0</v>
      </c>
    </row>
    <row r="29" spans="1:15" s="91" customFormat="1">
      <c r="A29" s="254" t="s">
        <v>434</v>
      </c>
      <c r="B29" s="254" t="s">
        <v>452</v>
      </c>
      <c r="C29" s="257" t="s">
        <v>453</v>
      </c>
      <c r="D29" s="258">
        <v>0</v>
      </c>
      <c r="E29" s="259">
        <v>0</v>
      </c>
      <c r="F29" s="259">
        <v>0</v>
      </c>
      <c r="G29" s="259">
        <v>0</v>
      </c>
      <c r="H29" s="259">
        <v>0</v>
      </c>
      <c r="I29" s="259">
        <v>0</v>
      </c>
      <c r="J29" s="259">
        <v>0</v>
      </c>
      <c r="K29" s="259">
        <v>0</v>
      </c>
      <c r="L29" s="259">
        <v>0</v>
      </c>
      <c r="M29" s="259">
        <v>0</v>
      </c>
      <c r="N29" s="259">
        <v>0</v>
      </c>
    </row>
    <row r="30" spans="1:15" s="91" customFormat="1">
      <c r="A30" s="254" t="s">
        <v>434</v>
      </c>
      <c r="B30" s="254" t="s">
        <v>454</v>
      </c>
      <c r="C30" s="257" t="s">
        <v>455</v>
      </c>
      <c r="D30" s="258">
        <f>SUM(D31:D38)</f>
        <v>74602560</v>
      </c>
      <c r="E30" s="259">
        <f>SUM(E31:E38)</f>
        <v>42204020</v>
      </c>
      <c r="F30" s="259">
        <f t="shared" ref="F30:N30" si="5">SUM(F31:F38)</f>
        <v>1843460</v>
      </c>
      <c r="G30" s="259">
        <f t="shared" si="5"/>
        <v>25106090</v>
      </c>
      <c r="H30" s="259">
        <f t="shared" si="5"/>
        <v>0</v>
      </c>
      <c r="I30" s="259">
        <f t="shared" si="5"/>
        <v>1702890</v>
      </c>
      <c r="J30" s="259">
        <f t="shared" si="5"/>
        <v>2361180</v>
      </c>
      <c r="K30" s="259">
        <f t="shared" si="5"/>
        <v>0</v>
      </c>
      <c r="L30" s="259">
        <f t="shared" si="5"/>
        <v>0</v>
      </c>
      <c r="M30" s="259">
        <f t="shared" si="5"/>
        <v>1384920</v>
      </c>
      <c r="N30" s="259">
        <f t="shared" si="5"/>
        <v>0</v>
      </c>
      <c r="O30" s="260"/>
    </row>
    <row r="31" spans="1:15">
      <c r="A31" s="103"/>
      <c r="B31" s="103"/>
      <c r="C31" s="99" t="s">
        <v>456</v>
      </c>
      <c r="D31" s="262">
        <f t="shared" ref="D31:D38" si="6">SUM(E31:N31)</f>
        <v>2939910</v>
      </c>
      <c r="E31" s="85">
        <f>+INT!C15</f>
        <v>624260</v>
      </c>
      <c r="F31" s="85">
        <f>+INT!C16</f>
        <v>15800</v>
      </c>
      <c r="G31" s="85">
        <f>+INT!C17</f>
        <v>93810</v>
      </c>
      <c r="H31" s="85">
        <f>+INT!C18</f>
        <v>0</v>
      </c>
      <c r="I31" s="85">
        <f>+INT!C19</f>
        <v>773240</v>
      </c>
      <c r="J31" s="85">
        <f>+INT!C21</f>
        <v>47880</v>
      </c>
      <c r="K31" s="85">
        <f>+INT!C22</f>
        <v>0</v>
      </c>
      <c r="L31" s="85">
        <f>+INT!C23</f>
        <v>0</v>
      </c>
      <c r="M31" s="85">
        <f>+INT!C24</f>
        <v>1384920</v>
      </c>
      <c r="N31" s="85">
        <f>+INT!C26</f>
        <v>0</v>
      </c>
    </row>
    <row r="32" spans="1:15">
      <c r="A32" s="103"/>
      <c r="B32" s="103"/>
      <c r="C32" s="99" t="s">
        <v>457</v>
      </c>
      <c r="D32" s="262">
        <f t="shared" si="6"/>
        <v>3134310</v>
      </c>
      <c r="E32" s="85">
        <f>+INT!D15</f>
        <v>2618020</v>
      </c>
      <c r="F32" s="85">
        <f>+INT!D16</f>
        <v>14960</v>
      </c>
      <c r="G32" s="85">
        <f>+INT!D17</f>
        <v>501330</v>
      </c>
      <c r="H32" s="85">
        <f>+INT!D18</f>
        <v>0</v>
      </c>
      <c r="I32" s="85">
        <f>+INT!D19</f>
        <v>0</v>
      </c>
      <c r="J32" s="85">
        <f>+INT!D21</f>
        <v>0</v>
      </c>
      <c r="K32" s="85">
        <f>+INT!D22</f>
        <v>0</v>
      </c>
      <c r="L32" s="85">
        <f>+INT!D23</f>
        <v>0</v>
      </c>
      <c r="M32" s="85">
        <f>+INT!D24</f>
        <v>0</v>
      </c>
      <c r="N32" s="85">
        <f>+INT!D26</f>
        <v>0</v>
      </c>
    </row>
    <row r="33" spans="1:15">
      <c r="A33" s="103"/>
      <c r="B33" s="103"/>
      <c r="C33" s="99" t="s">
        <v>458</v>
      </c>
      <c r="D33" s="262">
        <f t="shared" si="6"/>
        <v>1585710</v>
      </c>
      <c r="E33" s="85">
        <f>+INT!E15</f>
        <v>1432220</v>
      </c>
      <c r="F33" s="85">
        <f>+INT!E16</f>
        <v>570</v>
      </c>
      <c r="G33" s="85">
        <f>+INT!E17</f>
        <v>134960</v>
      </c>
      <c r="H33" s="85">
        <f>+INT!E18</f>
        <v>0</v>
      </c>
      <c r="I33" s="85">
        <f>+INT!E19</f>
        <v>0</v>
      </c>
      <c r="J33" s="85">
        <f>+INT!E21</f>
        <v>17960</v>
      </c>
      <c r="K33" s="85">
        <f>+INT!E22</f>
        <v>0</v>
      </c>
      <c r="L33" s="85">
        <f>+INT!E23</f>
        <v>0</v>
      </c>
      <c r="M33" s="85">
        <f>+INT!E24</f>
        <v>0</v>
      </c>
      <c r="N33" s="85">
        <f>+INT!E26</f>
        <v>0</v>
      </c>
    </row>
    <row r="34" spans="1:15" s="264" customFormat="1">
      <c r="A34" s="261"/>
      <c r="B34" s="261"/>
      <c r="C34" s="99" t="s">
        <v>459</v>
      </c>
      <c r="D34" s="262">
        <f t="shared" si="6"/>
        <v>4736560</v>
      </c>
      <c r="E34" s="85">
        <f>+INT!F15</f>
        <v>1603450</v>
      </c>
      <c r="F34" s="85">
        <f>+INT!F16</f>
        <v>1190</v>
      </c>
      <c r="G34" s="85">
        <f>+INT!F17</f>
        <v>3131920</v>
      </c>
      <c r="H34" s="85">
        <f>+INT!F18</f>
        <v>0</v>
      </c>
      <c r="I34" s="85">
        <f>+INT!F19</f>
        <v>0</v>
      </c>
      <c r="J34" s="85">
        <f>+INT!F21</f>
        <v>0</v>
      </c>
      <c r="K34" s="85">
        <f>+INT!F22</f>
        <v>0</v>
      </c>
      <c r="L34" s="85">
        <f>+INT!F23</f>
        <v>0</v>
      </c>
      <c r="M34" s="85">
        <f>+INT!F24</f>
        <v>0</v>
      </c>
      <c r="N34" s="85">
        <f>+INT!F26</f>
        <v>0</v>
      </c>
    </row>
    <row r="35" spans="1:15" s="264" customFormat="1">
      <c r="A35" s="261"/>
      <c r="B35" s="261"/>
      <c r="C35" s="99" t="s">
        <v>535</v>
      </c>
      <c r="D35" s="262">
        <f t="shared" si="6"/>
        <v>8113710</v>
      </c>
      <c r="E35" s="85">
        <f>+INT!G15</f>
        <v>1359010</v>
      </c>
      <c r="F35" s="85">
        <f>+INT!G16</f>
        <v>486510</v>
      </c>
      <c r="G35" s="85">
        <f>+INT!G17</f>
        <v>6241860</v>
      </c>
      <c r="H35" s="85">
        <f>+INT!G18</f>
        <v>0</v>
      </c>
      <c r="I35" s="85">
        <f>+INT!G24</f>
        <v>0</v>
      </c>
      <c r="J35" s="85">
        <f>+INT!G21</f>
        <v>26330</v>
      </c>
      <c r="K35" s="85">
        <f>+INT!G22</f>
        <v>0</v>
      </c>
      <c r="L35" s="85">
        <f>+INT!G23</f>
        <v>0</v>
      </c>
      <c r="M35" s="85">
        <f>+INT!G24</f>
        <v>0</v>
      </c>
      <c r="N35" s="85">
        <f>+INT!G26</f>
        <v>0</v>
      </c>
    </row>
    <row r="36" spans="1:15">
      <c r="A36" s="103"/>
      <c r="B36" s="103"/>
      <c r="C36" s="99" t="s">
        <v>460</v>
      </c>
      <c r="D36" s="262">
        <f t="shared" si="6"/>
        <v>7069370</v>
      </c>
      <c r="E36" s="85">
        <f>+GOB!C15</f>
        <v>3548700</v>
      </c>
      <c r="F36" s="85">
        <f>+GOB!C16</f>
        <v>126590</v>
      </c>
      <c r="G36" s="85">
        <f>+GOB!C17</f>
        <v>2260420</v>
      </c>
      <c r="H36" s="85">
        <f>+GOB!C18</f>
        <v>0</v>
      </c>
      <c r="I36" s="85">
        <f>+GOB!C19</f>
        <v>929650</v>
      </c>
      <c r="J36" s="85">
        <f>+GOB!C21</f>
        <v>204010</v>
      </c>
      <c r="K36" s="85">
        <f>+GOB!C22</f>
        <v>0</v>
      </c>
      <c r="L36" s="85">
        <f>+GOB!C23</f>
        <v>0</v>
      </c>
      <c r="M36" s="85">
        <f>+GOB!C24</f>
        <v>0</v>
      </c>
      <c r="N36" s="85">
        <f>+GOB!C26</f>
        <v>0</v>
      </c>
    </row>
    <row r="37" spans="1:15">
      <c r="A37" s="103"/>
      <c r="B37" s="103"/>
      <c r="C37" s="99" t="s">
        <v>461</v>
      </c>
      <c r="D37" s="262">
        <f t="shared" si="6"/>
        <v>5224610</v>
      </c>
      <c r="E37" s="85">
        <f>+GOB!D15</f>
        <v>2840800</v>
      </c>
      <c r="F37" s="85">
        <f>+GOB!D16</f>
        <v>686750</v>
      </c>
      <c r="G37" s="85">
        <f>+GOB!D17</f>
        <v>1649060</v>
      </c>
      <c r="H37" s="85">
        <f>+GOB!D18</f>
        <v>0</v>
      </c>
      <c r="I37" s="85">
        <f>+GOB!D19</f>
        <v>0</v>
      </c>
      <c r="J37" s="85">
        <f>+GOB!D21</f>
        <v>48000</v>
      </c>
      <c r="K37" s="85">
        <f>+GOB!D22</f>
        <v>0</v>
      </c>
      <c r="L37" s="85">
        <f>+GOB!D23</f>
        <v>0</v>
      </c>
      <c r="M37" s="85">
        <f>+GOB!D24</f>
        <v>0</v>
      </c>
      <c r="N37" s="85">
        <f>+GOB!D26</f>
        <v>0</v>
      </c>
    </row>
    <row r="38" spans="1:15">
      <c r="A38" s="103"/>
      <c r="B38" s="103"/>
      <c r="C38" s="99" t="s">
        <v>462</v>
      </c>
      <c r="D38" s="262">
        <f t="shared" si="6"/>
        <v>41798380</v>
      </c>
      <c r="E38" s="85">
        <f>+GOB!J15</f>
        <v>28177560</v>
      </c>
      <c r="F38" s="85">
        <f>+GOB!J16</f>
        <v>511090</v>
      </c>
      <c r="G38" s="85">
        <f>+GOB!J17</f>
        <v>11092730</v>
      </c>
      <c r="H38" s="85">
        <f>+GOB!J18</f>
        <v>0</v>
      </c>
      <c r="I38" s="85">
        <f>+GOB!J19</f>
        <v>0</v>
      </c>
      <c r="J38" s="85">
        <f>+GOB!J21</f>
        <v>2017000</v>
      </c>
      <c r="K38" s="85">
        <f>+GOB!J22</f>
        <v>0</v>
      </c>
      <c r="L38" s="85">
        <f>+GOB!J23</f>
        <v>0</v>
      </c>
      <c r="M38" s="85">
        <f>+GOB!J24</f>
        <v>0</v>
      </c>
      <c r="N38" s="85">
        <f>+GOB!J26</f>
        <v>0</v>
      </c>
    </row>
    <row r="39" spans="1:15">
      <c r="A39" s="254" t="s">
        <v>463</v>
      </c>
      <c r="B39" s="103"/>
      <c r="C39" s="255" t="s">
        <v>464</v>
      </c>
      <c r="D39" s="256">
        <f>+D40+D41</f>
        <v>7251000</v>
      </c>
      <c r="E39" s="256">
        <f t="shared" ref="E39:N39" si="7">+E40+E41</f>
        <v>1393010</v>
      </c>
      <c r="F39" s="256">
        <f t="shared" si="7"/>
        <v>2567050</v>
      </c>
      <c r="G39" s="256">
        <f t="shared" si="7"/>
        <v>2429100</v>
      </c>
      <c r="H39" s="256">
        <f t="shared" si="7"/>
        <v>0</v>
      </c>
      <c r="I39" s="256">
        <f t="shared" si="7"/>
        <v>0</v>
      </c>
      <c r="J39" s="256">
        <f t="shared" si="7"/>
        <v>861840</v>
      </c>
      <c r="K39" s="256">
        <f t="shared" si="7"/>
        <v>0</v>
      </c>
      <c r="L39" s="256">
        <f t="shared" si="7"/>
        <v>0</v>
      </c>
      <c r="M39" s="256">
        <f t="shared" si="7"/>
        <v>0</v>
      </c>
      <c r="N39" s="256">
        <f t="shared" si="7"/>
        <v>0</v>
      </c>
    </row>
    <row r="40" spans="1:15" s="91" customFormat="1">
      <c r="A40" s="254" t="s">
        <v>463</v>
      </c>
      <c r="B40" s="254" t="s">
        <v>74</v>
      </c>
      <c r="C40" s="257" t="s">
        <v>465</v>
      </c>
      <c r="D40" s="258">
        <v>0</v>
      </c>
      <c r="E40" s="259">
        <v>0</v>
      </c>
      <c r="F40" s="259">
        <v>0</v>
      </c>
      <c r="G40" s="259">
        <v>0</v>
      </c>
      <c r="H40" s="259">
        <v>0</v>
      </c>
      <c r="I40" s="259">
        <v>0</v>
      </c>
      <c r="J40" s="259">
        <v>0</v>
      </c>
      <c r="K40" s="259">
        <v>0</v>
      </c>
      <c r="L40" s="259">
        <v>0</v>
      </c>
      <c r="M40" s="259">
        <v>0</v>
      </c>
      <c r="N40" s="259">
        <v>0</v>
      </c>
      <c r="O40" s="20"/>
    </row>
    <row r="41" spans="1:15" s="91" customFormat="1">
      <c r="A41" s="254" t="s">
        <v>463</v>
      </c>
      <c r="B41" s="254" t="s">
        <v>454</v>
      </c>
      <c r="C41" s="257" t="s">
        <v>466</v>
      </c>
      <c r="D41" s="258">
        <f>SUM(D42)</f>
        <v>7251000</v>
      </c>
      <c r="E41" s="259">
        <f>SUM(E42)</f>
        <v>1393010</v>
      </c>
      <c r="F41" s="259">
        <f t="shared" ref="F41:N41" si="8">SUM(F42)</f>
        <v>2567050</v>
      </c>
      <c r="G41" s="259">
        <f t="shared" si="8"/>
        <v>2429100</v>
      </c>
      <c r="H41" s="259">
        <f t="shared" si="8"/>
        <v>0</v>
      </c>
      <c r="I41" s="259">
        <f t="shared" si="8"/>
        <v>0</v>
      </c>
      <c r="J41" s="259">
        <f t="shared" si="8"/>
        <v>861840</v>
      </c>
      <c r="K41" s="259">
        <f t="shared" si="8"/>
        <v>0</v>
      </c>
      <c r="L41" s="259">
        <f t="shared" si="8"/>
        <v>0</v>
      </c>
      <c r="M41" s="259">
        <f t="shared" si="8"/>
        <v>0</v>
      </c>
      <c r="N41" s="259">
        <f t="shared" si="8"/>
        <v>0</v>
      </c>
      <c r="O41" s="20"/>
    </row>
    <row r="42" spans="1:15">
      <c r="A42" s="103"/>
      <c r="B42" s="103"/>
      <c r="C42" s="99" t="s">
        <v>467</v>
      </c>
      <c r="D42" s="262">
        <f>SUM(E42:N42)</f>
        <v>7251000</v>
      </c>
      <c r="E42" s="85">
        <f>+'ESPEC A'!D16</f>
        <v>1393010</v>
      </c>
      <c r="F42" s="85">
        <f>+'ESPEC A'!D19</f>
        <v>2567050</v>
      </c>
      <c r="G42" s="85">
        <f>+'ESPEC A'!D20</f>
        <v>2429100</v>
      </c>
      <c r="H42" s="85">
        <f>+'ESPEC A'!D21</f>
        <v>0</v>
      </c>
      <c r="I42" s="85">
        <f>+'ESPEC A'!D22</f>
        <v>0</v>
      </c>
      <c r="J42" s="85">
        <f>+'ESPEC A'!D25</f>
        <v>861840</v>
      </c>
      <c r="K42" s="85">
        <f>+'ESPEC A'!D26</f>
        <v>0</v>
      </c>
      <c r="L42" s="85">
        <f>+'ESPEC A'!D27</f>
        <v>0</v>
      </c>
      <c r="M42" s="85">
        <f>+'ESPEC A'!D28</f>
        <v>0</v>
      </c>
      <c r="N42" s="85">
        <f>+'ESPEC A'!D30</f>
        <v>0</v>
      </c>
    </row>
    <row r="43" spans="1:15">
      <c r="A43" s="254" t="s">
        <v>468</v>
      </c>
      <c r="B43" s="103"/>
      <c r="C43" s="255" t="s">
        <v>277</v>
      </c>
      <c r="D43" s="256">
        <f>+D44+D46+D50</f>
        <v>131222630</v>
      </c>
      <c r="E43" s="256">
        <f t="shared" ref="E43:N43" si="9">+E44+E46+E50</f>
        <v>72374730</v>
      </c>
      <c r="F43" s="256">
        <f t="shared" si="9"/>
        <v>4320730</v>
      </c>
      <c r="G43" s="256">
        <f t="shared" si="9"/>
        <v>50654600</v>
      </c>
      <c r="H43" s="256">
        <f t="shared" si="9"/>
        <v>0</v>
      </c>
      <c r="I43" s="256">
        <f t="shared" si="9"/>
        <v>0</v>
      </c>
      <c r="J43" s="256">
        <f t="shared" si="9"/>
        <v>3872570</v>
      </c>
      <c r="K43" s="256">
        <f t="shared" si="9"/>
        <v>0</v>
      </c>
      <c r="L43" s="256">
        <f t="shared" si="9"/>
        <v>0</v>
      </c>
      <c r="M43" s="256">
        <f t="shared" si="9"/>
        <v>0</v>
      </c>
      <c r="N43" s="256">
        <f t="shared" si="9"/>
        <v>0</v>
      </c>
    </row>
    <row r="44" spans="1:15" s="91" customFormat="1">
      <c r="A44" s="254" t="s">
        <v>468</v>
      </c>
      <c r="B44" s="254" t="s">
        <v>74</v>
      </c>
      <c r="C44" s="257" t="s">
        <v>469</v>
      </c>
      <c r="D44" s="258">
        <f>+D45</f>
        <v>15198360</v>
      </c>
      <c r="E44" s="259">
        <f>+E45</f>
        <v>12127990</v>
      </c>
      <c r="F44" s="259">
        <f t="shared" ref="F44:N44" si="10">+F45</f>
        <v>339220</v>
      </c>
      <c r="G44" s="259">
        <f t="shared" si="10"/>
        <v>1796290</v>
      </c>
      <c r="H44" s="259">
        <f t="shared" si="10"/>
        <v>0</v>
      </c>
      <c r="I44" s="259">
        <f t="shared" si="10"/>
        <v>0</v>
      </c>
      <c r="J44" s="259">
        <f t="shared" si="10"/>
        <v>934860</v>
      </c>
      <c r="K44" s="259">
        <f t="shared" si="10"/>
        <v>0</v>
      </c>
      <c r="L44" s="259">
        <f t="shared" si="10"/>
        <v>0</v>
      </c>
      <c r="M44" s="259">
        <f t="shared" si="10"/>
        <v>0</v>
      </c>
      <c r="N44" s="259">
        <f t="shared" si="10"/>
        <v>0</v>
      </c>
      <c r="O44" s="20"/>
    </row>
    <row r="45" spans="1:15">
      <c r="A45" s="103"/>
      <c r="B45" s="103"/>
      <c r="C45" s="99" t="s">
        <v>470</v>
      </c>
      <c r="D45" s="262">
        <f>SUM(E45:N45)</f>
        <v>15198360</v>
      </c>
      <c r="E45" s="85">
        <f>+GOB!K15</f>
        <v>12127990</v>
      </c>
      <c r="F45" s="85">
        <f>+GOB!K16</f>
        <v>339220</v>
      </c>
      <c r="G45" s="85">
        <f>+GOB!K17</f>
        <v>1796290</v>
      </c>
      <c r="H45" s="85">
        <f>+GOB!K18</f>
        <v>0</v>
      </c>
      <c r="I45" s="85">
        <f>+GOB!K19</f>
        <v>0</v>
      </c>
      <c r="J45" s="85">
        <f>+GOB!K21</f>
        <v>934860</v>
      </c>
      <c r="K45" s="85">
        <f>+GOB!K22</f>
        <v>0</v>
      </c>
      <c r="L45" s="85">
        <f>+GOB!K23</f>
        <v>0</v>
      </c>
      <c r="M45" s="85">
        <f>+GOB!K24</f>
        <v>0</v>
      </c>
      <c r="N45" s="85">
        <f>+GOB!K26</f>
        <v>0</v>
      </c>
    </row>
    <row r="46" spans="1:15" s="91" customFormat="1">
      <c r="A46" s="254" t="s">
        <v>468</v>
      </c>
      <c r="B46" s="254" t="s">
        <v>94</v>
      </c>
      <c r="C46" s="257" t="s">
        <v>471</v>
      </c>
      <c r="D46" s="258">
        <f>SUM(D47:D49)</f>
        <v>116024270</v>
      </c>
      <c r="E46" s="259">
        <f t="shared" ref="E46:N46" si="11">SUM(E47:E49)</f>
        <v>60246740</v>
      </c>
      <c r="F46" s="259">
        <f t="shared" si="11"/>
        <v>3981510</v>
      </c>
      <c r="G46" s="259">
        <f t="shared" si="11"/>
        <v>48858310</v>
      </c>
      <c r="H46" s="259">
        <f t="shared" si="11"/>
        <v>0</v>
      </c>
      <c r="I46" s="259">
        <f t="shared" si="11"/>
        <v>0</v>
      </c>
      <c r="J46" s="259">
        <f t="shared" si="11"/>
        <v>2937710</v>
      </c>
      <c r="K46" s="259">
        <f>SUM(K47:K49)</f>
        <v>0</v>
      </c>
      <c r="L46" s="259">
        <f>SUM(L47:L49)</f>
        <v>0</v>
      </c>
      <c r="M46" s="259">
        <f>SUM(M47:M49)</f>
        <v>0</v>
      </c>
      <c r="N46" s="259">
        <f t="shared" si="11"/>
        <v>0</v>
      </c>
      <c r="O46" s="20"/>
    </row>
    <row r="47" spans="1:15">
      <c r="A47" s="103"/>
      <c r="B47" s="103"/>
      <c r="C47" s="99" t="s">
        <v>472</v>
      </c>
      <c r="D47" s="262">
        <f>SUM(E47:N47)</f>
        <v>14233040</v>
      </c>
      <c r="E47" s="85">
        <f>+GOB!E15</f>
        <v>11598910</v>
      </c>
      <c r="F47" s="85">
        <f>+GOB!E16</f>
        <v>423540</v>
      </c>
      <c r="G47" s="85">
        <f>+GOB!E17</f>
        <v>1742760</v>
      </c>
      <c r="H47" s="85">
        <f>+GOB!E18</f>
        <v>0</v>
      </c>
      <c r="I47" s="85">
        <f>+GOB!E19</f>
        <v>0</v>
      </c>
      <c r="J47" s="85">
        <f>+GOB!E21</f>
        <v>467830</v>
      </c>
      <c r="K47" s="85">
        <f>+GOB!E22</f>
        <v>0</v>
      </c>
      <c r="L47" s="85">
        <f>+GOB!E23</f>
        <v>0</v>
      </c>
      <c r="M47" s="85">
        <f>+GOB!E24</f>
        <v>0</v>
      </c>
      <c r="N47" s="85">
        <f>+GOB!E26</f>
        <v>0</v>
      </c>
    </row>
    <row r="48" spans="1:15">
      <c r="A48" s="103"/>
      <c r="B48" s="103"/>
      <c r="C48" s="99" t="s">
        <v>473</v>
      </c>
      <c r="D48" s="262">
        <f>SUM(E48:N48)</f>
        <v>80147060</v>
      </c>
      <c r="E48" s="85">
        <f>+OBRAS!H15</f>
        <v>41767700</v>
      </c>
      <c r="F48" s="85">
        <f>+OBRAS!H16</f>
        <v>2114080</v>
      </c>
      <c r="G48" s="85">
        <f>+OBRAS!H17</f>
        <v>35047870</v>
      </c>
      <c r="H48" s="85">
        <f>+OBRAS!H18</f>
        <v>0</v>
      </c>
      <c r="I48" s="85">
        <f>+OBRAS!H19</f>
        <v>0</v>
      </c>
      <c r="J48" s="85">
        <f>+OBRAS!H21</f>
        <v>1217410</v>
      </c>
      <c r="K48" s="85">
        <f>+OBRAS!H22</f>
        <v>0</v>
      </c>
      <c r="L48" s="85">
        <f>+OBRAS!H23</f>
        <v>0</v>
      </c>
      <c r="M48" s="85">
        <f>+OBRAS!H24</f>
        <v>0</v>
      </c>
      <c r="N48" s="85">
        <f>+OBRAS!H26</f>
        <v>0</v>
      </c>
    </row>
    <row r="49" spans="1:15">
      <c r="A49" s="103"/>
      <c r="B49" s="103"/>
      <c r="C49" s="99" t="s">
        <v>474</v>
      </c>
      <c r="D49" s="262">
        <f>SUM(E49:N49)</f>
        <v>21644170</v>
      </c>
      <c r="E49" s="85">
        <f>+OBRAS!J15</f>
        <v>6880130</v>
      </c>
      <c r="F49" s="85">
        <f>+OBRAS!J16</f>
        <v>1443890</v>
      </c>
      <c r="G49" s="85">
        <f>+OBRAS!J17</f>
        <v>12067680</v>
      </c>
      <c r="H49" s="85">
        <f>+OBRAS!J18</f>
        <v>0</v>
      </c>
      <c r="I49" s="85">
        <f>+OBRAS!J19</f>
        <v>0</v>
      </c>
      <c r="J49" s="85">
        <f>+OBRAS!J21</f>
        <v>1252470</v>
      </c>
      <c r="K49" s="85">
        <f>+OBRAS!J22</f>
        <v>0</v>
      </c>
      <c r="L49" s="85">
        <f>+OBRAS!J23</f>
        <v>0</v>
      </c>
      <c r="M49" s="85">
        <f>+OBRAS!J24</f>
        <v>0</v>
      </c>
      <c r="N49" s="85">
        <f>+OBRAS!J26</f>
        <v>0</v>
      </c>
      <c r="O49" s="123"/>
    </row>
    <row r="50" spans="1:15" s="91" customFormat="1">
      <c r="A50" s="254" t="s">
        <v>468</v>
      </c>
      <c r="B50" s="254" t="s">
        <v>454</v>
      </c>
      <c r="C50" s="257" t="s">
        <v>475</v>
      </c>
      <c r="D50" s="262">
        <v>0</v>
      </c>
      <c r="E50" s="259"/>
      <c r="F50" s="259"/>
      <c r="G50" s="259"/>
      <c r="H50" s="259"/>
      <c r="I50" s="259"/>
      <c r="J50" s="259"/>
      <c r="K50" s="259"/>
      <c r="L50" s="259"/>
      <c r="M50" s="259"/>
      <c r="N50" s="259"/>
    </row>
    <row r="51" spans="1:15">
      <c r="A51" s="254" t="s">
        <v>476</v>
      </c>
      <c r="B51" s="103"/>
      <c r="C51" s="255" t="s">
        <v>477</v>
      </c>
      <c r="D51" s="256">
        <f>+D52+D54+D61+D62</f>
        <v>29106630</v>
      </c>
      <c r="E51" s="256">
        <f t="shared" ref="E51:N51" si="12">+E52+E54+E61+E62</f>
        <v>12643230</v>
      </c>
      <c r="F51" s="256">
        <f t="shared" si="12"/>
        <v>1045340</v>
      </c>
      <c r="G51" s="256">
        <f t="shared" si="12"/>
        <v>15315500</v>
      </c>
      <c r="H51" s="256">
        <f t="shared" si="12"/>
        <v>0</v>
      </c>
      <c r="I51" s="256">
        <f t="shared" si="12"/>
        <v>0</v>
      </c>
      <c r="J51" s="256">
        <f t="shared" si="12"/>
        <v>102560</v>
      </c>
      <c r="K51" s="256">
        <f t="shared" si="12"/>
        <v>0</v>
      </c>
      <c r="L51" s="256">
        <f t="shared" si="12"/>
        <v>0</v>
      </c>
      <c r="M51" s="256">
        <f t="shared" si="12"/>
        <v>0</v>
      </c>
      <c r="N51" s="256">
        <f t="shared" si="12"/>
        <v>0</v>
      </c>
      <c r="O51" s="123"/>
    </row>
    <row r="52" spans="1:15" s="91" customFormat="1">
      <c r="A52" s="254" t="s">
        <v>476</v>
      </c>
      <c r="B52" s="254" t="s">
        <v>74</v>
      </c>
      <c r="C52" s="257" t="s">
        <v>479</v>
      </c>
      <c r="D52" s="258">
        <f>+D53</f>
        <v>22914200</v>
      </c>
      <c r="E52" s="259">
        <f>+E53</f>
        <v>8839940</v>
      </c>
      <c r="F52" s="259">
        <f t="shared" ref="F52:N52" si="13">+F53</f>
        <v>695030</v>
      </c>
      <c r="G52" s="259">
        <f t="shared" si="13"/>
        <v>13353260</v>
      </c>
      <c r="H52" s="259">
        <f t="shared" si="13"/>
        <v>0</v>
      </c>
      <c r="I52" s="259">
        <f t="shared" si="13"/>
        <v>0</v>
      </c>
      <c r="J52" s="259">
        <f t="shared" si="13"/>
        <v>25970</v>
      </c>
      <c r="K52" s="259">
        <f t="shared" si="13"/>
        <v>0</v>
      </c>
      <c r="L52" s="259">
        <f t="shared" si="13"/>
        <v>0</v>
      </c>
      <c r="M52" s="259">
        <f t="shared" si="13"/>
        <v>0</v>
      </c>
      <c r="N52" s="259">
        <f t="shared" si="13"/>
        <v>0</v>
      </c>
    </row>
    <row r="53" spans="1:15">
      <c r="A53" s="103"/>
      <c r="B53" s="103"/>
      <c r="C53" s="99" t="s">
        <v>478</v>
      </c>
      <c r="D53" s="262">
        <f>SUM(E53:N53)</f>
        <v>22914200</v>
      </c>
      <c r="E53" s="85">
        <f>+GOB!G15</f>
        <v>8839940</v>
      </c>
      <c r="F53" s="85">
        <f>+GOB!G16</f>
        <v>695030</v>
      </c>
      <c r="G53" s="85">
        <f>+GOB!G17</f>
        <v>13353260</v>
      </c>
      <c r="H53" s="85">
        <f>+GOB!G18</f>
        <v>0</v>
      </c>
      <c r="I53" s="85">
        <f>+GOB!G19</f>
        <v>0</v>
      </c>
      <c r="J53" s="85">
        <f>+GOB!G21</f>
        <v>25970</v>
      </c>
      <c r="K53" s="85">
        <f>+GOB!G22</f>
        <v>0</v>
      </c>
      <c r="L53" s="85">
        <f>+GOB!G23</f>
        <v>0</v>
      </c>
      <c r="M53" s="85">
        <f>+GOB!G24</f>
        <v>0</v>
      </c>
      <c r="N53" s="85">
        <f>+GOB!G26</f>
        <v>0</v>
      </c>
    </row>
    <row r="54" spans="1:15" s="91" customFormat="1">
      <c r="A54" s="254" t="s">
        <v>476</v>
      </c>
      <c r="B54" s="254" t="s">
        <v>94</v>
      </c>
      <c r="C54" s="257" t="s">
        <v>483</v>
      </c>
      <c r="D54" s="258">
        <f>+D60</f>
        <v>6192430</v>
      </c>
      <c r="E54" s="259">
        <f>+E60</f>
        <v>3803290</v>
      </c>
      <c r="F54" s="259">
        <f t="shared" ref="F54:M54" si="14">+F60</f>
        <v>350310</v>
      </c>
      <c r="G54" s="259">
        <f t="shared" si="14"/>
        <v>1962240</v>
      </c>
      <c r="H54" s="259">
        <f t="shared" si="14"/>
        <v>0</v>
      </c>
      <c r="I54" s="259">
        <f t="shared" si="14"/>
        <v>0</v>
      </c>
      <c r="J54" s="259">
        <f t="shared" si="14"/>
        <v>76590</v>
      </c>
      <c r="K54" s="259">
        <f t="shared" si="14"/>
        <v>0</v>
      </c>
      <c r="L54" s="259">
        <f t="shared" si="14"/>
        <v>0</v>
      </c>
      <c r="M54" s="259">
        <f t="shared" si="14"/>
        <v>0</v>
      </c>
      <c r="N54" s="259">
        <f>+N60</f>
        <v>0</v>
      </c>
    </row>
    <row r="55" spans="1:15" s="91" customFormat="1">
      <c r="A55" s="404" t="s">
        <v>481</v>
      </c>
      <c r="B55" s="404"/>
      <c r="C55" s="404"/>
      <c r="D55" s="405"/>
      <c r="E55" s="265"/>
      <c r="F55" s="265"/>
      <c r="G55" s="265"/>
      <c r="H55" s="265"/>
      <c r="I55" s="265"/>
      <c r="J55" s="265"/>
      <c r="K55" s="265"/>
      <c r="L55" s="265"/>
      <c r="M55" s="265"/>
      <c r="N55" s="265"/>
    </row>
    <row r="56" spans="1:15">
      <c r="A56" s="253"/>
      <c r="B56" s="253"/>
    </row>
    <row r="57" spans="1:15" ht="25.5">
      <c r="A57" s="406" t="s">
        <v>430</v>
      </c>
      <c r="B57" s="406"/>
      <c r="C57" s="251" t="s">
        <v>3</v>
      </c>
      <c r="D57" s="252" t="s">
        <v>525</v>
      </c>
      <c r="E57" s="252" t="s">
        <v>526</v>
      </c>
      <c r="F57" s="252" t="s">
        <v>527</v>
      </c>
      <c r="G57" s="252" t="s">
        <v>324</v>
      </c>
      <c r="H57" s="252" t="s">
        <v>528</v>
      </c>
      <c r="I57" s="252" t="s">
        <v>529</v>
      </c>
      <c r="J57" s="252" t="s">
        <v>530</v>
      </c>
      <c r="K57" s="252" t="s">
        <v>531</v>
      </c>
      <c r="L57" s="252" t="s">
        <v>532</v>
      </c>
      <c r="M57" s="252" t="s">
        <v>533</v>
      </c>
      <c r="N57" s="252" t="s">
        <v>534</v>
      </c>
    </row>
    <row r="58" spans="1:15" s="52" customFormat="1">
      <c r="A58" s="253"/>
      <c r="B58" s="253"/>
      <c r="C58" s="20"/>
    </row>
    <row r="59" spans="1:15">
      <c r="A59" s="103"/>
      <c r="B59" s="103"/>
      <c r="C59" s="107" t="s">
        <v>481</v>
      </c>
      <c r="D59" s="262"/>
      <c r="E59" s="85"/>
      <c r="F59" s="85"/>
      <c r="G59" s="85"/>
      <c r="H59" s="85"/>
      <c r="I59" s="85"/>
      <c r="J59" s="85"/>
      <c r="K59" s="85"/>
      <c r="L59" s="85"/>
      <c r="M59" s="85"/>
      <c r="N59" s="85"/>
    </row>
    <row r="60" spans="1:15">
      <c r="A60" s="103"/>
      <c r="B60" s="103"/>
      <c r="C60" s="99" t="s">
        <v>482</v>
      </c>
      <c r="D60" s="262">
        <f>SUM(E60:N60)</f>
        <v>6192430</v>
      </c>
      <c r="E60" s="85">
        <f>+GOB!H15</f>
        <v>3803290</v>
      </c>
      <c r="F60" s="85">
        <f>+GOB!H16</f>
        <v>350310</v>
      </c>
      <c r="G60" s="85">
        <f>+GOB!H17</f>
        <v>1962240</v>
      </c>
      <c r="H60" s="85">
        <f>+GOB!H18</f>
        <v>0</v>
      </c>
      <c r="I60" s="85">
        <f>+GOB!H19</f>
        <v>0</v>
      </c>
      <c r="J60" s="85">
        <f>+GOB!H21</f>
        <v>76590</v>
      </c>
      <c r="K60" s="85">
        <f>+GOB!H22</f>
        <v>0</v>
      </c>
      <c r="L60" s="85">
        <f>+GOB!H23</f>
        <v>0</v>
      </c>
      <c r="M60" s="85">
        <f>+GOB!H24</f>
        <v>0</v>
      </c>
      <c r="N60" s="85">
        <f>+GOB!H26</f>
        <v>0</v>
      </c>
    </row>
    <row r="61" spans="1:15" s="91" customFormat="1">
      <c r="A61" s="254" t="s">
        <v>476</v>
      </c>
      <c r="B61" s="254" t="s">
        <v>347</v>
      </c>
      <c r="C61" s="257" t="s">
        <v>480</v>
      </c>
      <c r="D61" s="258">
        <v>0</v>
      </c>
      <c r="E61" s="259">
        <v>0</v>
      </c>
      <c r="F61" s="259">
        <v>0</v>
      </c>
      <c r="G61" s="259">
        <v>0</v>
      </c>
      <c r="H61" s="259">
        <v>0</v>
      </c>
      <c r="I61" s="259">
        <v>0</v>
      </c>
      <c r="J61" s="259">
        <v>0</v>
      </c>
      <c r="K61" s="259">
        <v>0</v>
      </c>
      <c r="L61" s="259">
        <v>0</v>
      </c>
      <c r="M61" s="259">
        <v>0</v>
      </c>
      <c r="N61" s="259">
        <v>0</v>
      </c>
    </row>
    <row r="62" spans="1:15" s="91" customFormat="1">
      <c r="A62" s="254" t="s">
        <v>476</v>
      </c>
      <c r="B62" s="254" t="s">
        <v>454</v>
      </c>
      <c r="C62" s="257" t="s">
        <v>484</v>
      </c>
      <c r="D62" s="258">
        <v>0</v>
      </c>
      <c r="E62" s="259">
        <v>0</v>
      </c>
      <c r="F62" s="259">
        <v>0</v>
      </c>
      <c r="G62" s="259">
        <v>0</v>
      </c>
      <c r="H62" s="259">
        <v>0</v>
      </c>
      <c r="I62" s="259">
        <v>0</v>
      </c>
      <c r="J62" s="259">
        <v>0</v>
      </c>
      <c r="K62" s="259">
        <v>0</v>
      </c>
      <c r="L62" s="259">
        <v>0</v>
      </c>
      <c r="M62" s="259">
        <v>0</v>
      </c>
      <c r="N62" s="259">
        <v>0</v>
      </c>
    </row>
    <row r="63" spans="1:15">
      <c r="A63" s="254" t="s">
        <v>485</v>
      </c>
      <c r="B63" s="103"/>
      <c r="C63" s="255" t="s">
        <v>486</v>
      </c>
      <c r="D63" s="256">
        <f>+D64+D65+D66+D67+D68+D69+D71+D72+D74+D75+D76+D77</f>
        <v>58026040</v>
      </c>
      <c r="E63" s="256">
        <f t="shared" ref="E63:N63" si="15">+E64+E65+E66+E67+E68+E69+E71+E72+E74+E75+E76+E77</f>
        <v>11571220</v>
      </c>
      <c r="F63" s="256">
        <f t="shared" si="15"/>
        <v>3757750</v>
      </c>
      <c r="G63" s="256">
        <f t="shared" si="15"/>
        <v>5500250</v>
      </c>
      <c r="H63" s="256">
        <f t="shared" si="15"/>
        <v>0</v>
      </c>
      <c r="I63" s="256">
        <f t="shared" si="15"/>
        <v>0</v>
      </c>
      <c r="J63" s="256">
        <f t="shared" si="15"/>
        <v>661360</v>
      </c>
      <c r="K63" s="256">
        <f t="shared" si="15"/>
        <v>36320000</v>
      </c>
      <c r="L63" s="256">
        <f t="shared" si="15"/>
        <v>215460</v>
      </c>
      <c r="M63" s="256">
        <f t="shared" si="15"/>
        <v>0</v>
      </c>
      <c r="N63" s="256">
        <f t="shared" si="15"/>
        <v>0</v>
      </c>
    </row>
    <row r="64" spans="1:15" s="91" customFormat="1">
      <c r="A64" s="254" t="s">
        <v>485</v>
      </c>
      <c r="B64" s="254" t="s">
        <v>74</v>
      </c>
      <c r="C64" s="257" t="s">
        <v>487</v>
      </c>
      <c r="D64" s="258">
        <v>0</v>
      </c>
      <c r="E64" s="259">
        <v>0</v>
      </c>
      <c r="F64" s="259">
        <v>0</v>
      </c>
      <c r="G64" s="259">
        <v>0</v>
      </c>
      <c r="H64" s="259">
        <v>0</v>
      </c>
      <c r="I64" s="259">
        <v>0</v>
      </c>
      <c r="J64" s="259">
        <v>0</v>
      </c>
      <c r="K64" s="259">
        <v>0</v>
      </c>
      <c r="L64" s="259">
        <v>0</v>
      </c>
      <c r="M64" s="259">
        <v>0</v>
      </c>
      <c r="N64" s="259">
        <v>0</v>
      </c>
    </row>
    <row r="65" spans="1:15" s="91" customFormat="1">
      <c r="A65" s="254" t="s">
        <v>485</v>
      </c>
      <c r="B65" s="254" t="s">
        <v>79</v>
      </c>
      <c r="C65" s="257" t="s">
        <v>488</v>
      </c>
      <c r="D65" s="258">
        <v>0</v>
      </c>
      <c r="E65" s="259">
        <v>0</v>
      </c>
      <c r="F65" s="259">
        <v>0</v>
      </c>
      <c r="G65" s="259">
        <v>0</v>
      </c>
      <c r="H65" s="259">
        <v>0</v>
      </c>
      <c r="I65" s="259">
        <v>0</v>
      </c>
      <c r="J65" s="259">
        <v>0</v>
      </c>
      <c r="K65" s="259">
        <v>0</v>
      </c>
      <c r="L65" s="259">
        <v>0</v>
      </c>
      <c r="M65" s="259">
        <v>0</v>
      </c>
      <c r="N65" s="259">
        <v>0</v>
      </c>
    </row>
    <row r="66" spans="1:15">
      <c r="A66" s="254" t="s">
        <v>485</v>
      </c>
      <c r="B66" s="254" t="s">
        <v>94</v>
      </c>
      <c r="C66" s="257" t="s">
        <v>489</v>
      </c>
      <c r="D66" s="258">
        <v>0</v>
      </c>
      <c r="E66" s="259">
        <v>0</v>
      </c>
      <c r="F66" s="259">
        <v>0</v>
      </c>
      <c r="G66" s="259">
        <v>0</v>
      </c>
      <c r="H66" s="259">
        <v>0</v>
      </c>
      <c r="I66" s="259">
        <v>0</v>
      </c>
      <c r="J66" s="259">
        <v>0</v>
      </c>
      <c r="K66" s="259">
        <v>0</v>
      </c>
      <c r="L66" s="259">
        <v>0</v>
      </c>
      <c r="M66" s="259">
        <v>0</v>
      </c>
      <c r="N66" s="259">
        <v>0</v>
      </c>
    </row>
    <row r="67" spans="1:15">
      <c r="A67" s="254" t="s">
        <v>485</v>
      </c>
      <c r="B67" s="254" t="s">
        <v>347</v>
      </c>
      <c r="C67" s="257" t="s">
        <v>490</v>
      </c>
      <c r="D67" s="258">
        <v>0</v>
      </c>
      <c r="E67" s="259">
        <v>0</v>
      </c>
      <c r="F67" s="259">
        <v>0</v>
      </c>
      <c r="G67" s="259">
        <v>0</v>
      </c>
      <c r="H67" s="259">
        <v>0</v>
      </c>
      <c r="I67" s="259">
        <v>0</v>
      </c>
      <c r="J67" s="259">
        <v>0</v>
      </c>
      <c r="K67" s="259">
        <v>0</v>
      </c>
      <c r="L67" s="259">
        <v>0</v>
      </c>
      <c r="M67" s="259">
        <v>0</v>
      </c>
      <c r="N67" s="259">
        <v>0</v>
      </c>
    </row>
    <row r="68" spans="1:15">
      <c r="A68" s="254" t="s">
        <v>485</v>
      </c>
      <c r="B68" s="254" t="s">
        <v>362</v>
      </c>
      <c r="C68" s="257" t="s">
        <v>491</v>
      </c>
      <c r="D68" s="258">
        <v>0</v>
      </c>
      <c r="E68" s="259">
        <v>0</v>
      </c>
      <c r="F68" s="259">
        <v>0</v>
      </c>
      <c r="G68" s="259">
        <v>0</v>
      </c>
      <c r="H68" s="259">
        <v>0</v>
      </c>
      <c r="I68" s="259">
        <v>0</v>
      </c>
      <c r="J68" s="259">
        <v>0</v>
      </c>
      <c r="K68" s="259">
        <v>0</v>
      </c>
      <c r="L68" s="259">
        <v>0</v>
      </c>
      <c r="M68" s="259">
        <v>0</v>
      </c>
      <c r="N68" s="259">
        <v>0</v>
      </c>
    </row>
    <row r="69" spans="1:15" s="91" customFormat="1">
      <c r="A69" s="254" t="s">
        <v>485</v>
      </c>
      <c r="B69" s="254" t="s">
        <v>492</v>
      </c>
      <c r="C69" s="257" t="s">
        <v>493</v>
      </c>
      <c r="D69" s="258">
        <f>SUM(D70:D70)</f>
        <v>805750</v>
      </c>
      <c r="E69" s="259">
        <f>SUM(E70:E70)</f>
        <v>457640</v>
      </c>
      <c r="F69" s="259">
        <f t="shared" ref="F69:N69" si="16">SUM(F70:F70)</f>
        <v>5000</v>
      </c>
      <c r="G69" s="259">
        <f t="shared" si="16"/>
        <v>343110</v>
      </c>
      <c r="H69" s="259">
        <f t="shared" si="16"/>
        <v>0</v>
      </c>
      <c r="I69" s="259">
        <f t="shared" si="16"/>
        <v>0</v>
      </c>
      <c r="J69" s="259">
        <f t="shared" si="16"/>
        <v>0</v>
      </c>
      <c r="K69" s="259">
        <f t="shared" si="16"/>
        <v>0</v>
      </c>
      <c r="L69" s="259">
        <f t="shared" si="16"/>
        <v>0</v>
      </c>
      <c r="M69" s="259">
        <f t="shared" si="16"/>
        <v>0</v>
      </c>
      <c r="N69" s="259">
        <f t="shared" si="16"/>
        <v>0</v>
      </c>
    </row>
    <row r="70" spans="1:15">
      <c r="A70" s="103"/>
      <c r="B70" s="103"/>
      <c r="C70" s="99" t="s">
        <v>493</v>
      </c>
      <c r="D70" s="262">
        <f>SUM(E70:N70)</f>
        <v>805750</v>
      </c>
      <c r="E70" s="85">
        <f>+'ESPEC A'!E16</f>
        <v>457640</v>
      </c>
      <c r="F70" s="85">
        <f>+'ESPEC A'!E19</f>
        <v>5000</v>
      </c>
      <c r="G70" s="85">
        <f>+'ESPEC A'!E20</f>
        <v>343110</v>
      </c>
      <c r="H70" s="85"/>
      <c r="I70" s="85"/>
      <c r="J70" s="85">
        <f>+'ESPEC A'!E25</f>
        <v>0</v>
      </c>
      <c r="K70" s="85"/>
      <c r="L70" s="85"/>
      <c r="M70" s="85"/>
      <c r="N70" s="85"/>
    </row>
    <row r="71" spans="1:15" s="91" customFormat="1">
      <c r="A71" s="254" t="s">
        <v>485</v>
      </c>
      <c r="B71" s="254" t="s">
        <v>446</v>
      </c>
      <c r="C71" s="257" t="s">
        <v>481</v>
      </c>
      <c r="D71" s="258">
        <v>0</v>
      </c>
      <c r="E71" s="259">
        <v>0</v>
      </c>
      <c r="F71" s="259">
        <v>0</v>
      </c>
      <c r="G71" s="259">
        <v>0</v>
      </c>
      <c r="H71" s="259">
        <v>0</v>
      </c>
      <c r="I71" s="259">
        <v>0</v>
      </c>
      <c r="J71" s="259">
        <v>0</v>
      </c>
      <c r="K71" s="259">
        <v>0</v>
      </c>
      <c r="L71" s="259">
        <v>0</v>
      </c>
      <c r="M71" s="259">
        <v>0</v>
      </c>
      <c r="N71" s="259">
        <v>0</v>
      </c>
    </row>
    <row r="72" spans="1:15" s="91" customFormat="1">
      <c r="A72" s="254" t="s">
        <v>485</v>
      </c>
      <c r="B72" s="254" t="s">
        <v>494</v>
      </c>
      <c r="C72" s="257" t="s">
        <v>495</v>
      </c>
      <c r="D72" s="258">
        <f>+D73</f>
        <v>48065740</v>
      </c>
      <c r="E72" s="259">
        <f>+E73</f>
        <v>3526860</v>
      </c>
      <c r="F72" s="259">
        <f t="shared" ref="F72:N72" si="17">+F73</f>
        <v>3638720</v>
      </c>
      <c r="G72" s="259">
        <f t="shared" si="17"/>
        <v>3937430</v>
      </c>
      <c r="H72" s="259">
        <f t="shared" si="17"/>
        <v>0</v>
      </c>
      <c r="I72" s="259">
        <f t="shared" si="17"/>
        <v>0</v>
      </c>
      <c r="J72" s="259">
        <f t="shared" si="17"/>
        <v>642730</v>
      </c>
      <c r="K72" s="259">
        <f t="shared" si="17"/>
        <v>36320000</v>
      </c>
      <c r="L72" s="259">
        <f t="shared" si="17"/>
        <v>0</v>
      </c>
      <c r="M72" s="259">
        <f t="shared" si="17"/>
        <v>0</v>
      </c>
      <c r="N72" s="259">
        <f t="shared" si="17"/>
        <v>0</v>
      </c>
      <c r="O72" s="260"/>
    </row>
    <row r="73" spans="1:15" s="91" customFormat="1">
      <c r="A73" s="254"/>
      <c r="B73" s="254"/>
      <c r="C73" s="99" t="s">
        <v>496</v>
      </c>
      <c r="D73" s="262">
        <f>SUM(E73:N73)</f>
        <v>48065740</v>
      </c>
      <c r="E73" s="85">
        <f>+'OBRAS B'!G28+'OBRAS B'!G46</f>
        <v>3526860</v>
      </c>
      <c r="F73" s="85">
        <f>+'OBRAS B'!G66</f>
        <v>3638720</v>
      </c>
      <c r="G73" s="85">
        <f>+'OBRAS B'!G92</f>
        <v>3937430</v>
      </c>
      <c r="H73" s="85">
        <f>+'OBRAS B'!G111</f>
        <v>0</v>
      </c>
      <c r="I73" s="85">
        <f>+'OBRAS B'!G113</f>
        <v>0</v>
      </c>
      <c r="J73" s="85">
        <f>+'OBRAS B'!G107</f>
        <v>642730</v>
      </c>
      <c r="K73" s="85">
        <f>+'OBRAS B'!G115</f>
        <v>36320000</v>
      </c>
      <c r="L73" s="85">
        <f>+'OBRAS B'!G117</f>
        <v>0</v>
      </c>
      <c r="M73" s="85">
        <f>+'OBRAS B'!G119</f>
        <v>0</v>
      </c>
      <c r="N73" s="85">
        <f>+'OBRAS B'!G121</f>
        <v>0</v>
      </c>
    </row>
    <row r="74" spans="1:15" s="91" customFormat="1">
      <c r="A74" s="254" t="s">
        <v>485</v>
      </c>
      <c r="B74" s="254" t="s">
        <v>497</v>
      </c>
      <c r="C74" s="257" t="s">
        <v>327</v>
      </c>
      <c r="D74" s="258">
        <v>0</v>
      </c>
      <c r="E74" s="259">
        <v>0</v>
      </c>
      <c r="F74" s="259">
        <v>0</v>
      </c>
      <c r="G74" s="259">
        <v>0</v>
      </c>
      <c r="H74" s="259">
        <v>0</v>
      </c>
      <c r="I74" s="259">
        <v>0</v>
      </c>
      <c r="J74" s="259">
        <v>0</v>
      </c>
      <c r="K74" s="259">
        <v>0</v>
      </c>
      <c r="L74" s="259">
        <v>0</v>
      </c>
      <c r="M74" s="259">
        <v>0</v>
      </c>
      <c r="N74" s="259">
        <v>0</v>
      </c>
    </row>
    <row r="75" spans="1:15" s="91" customFormat="1">
      <c r="A75" s="254" t="s">
        <v>485</v>
      </c>
      <c r="B75" s="254" t="s">
        <v>450</v>
      </c>
      <c r="C75" s="257" t="s">
        <v>498</v>
      </c>
      <c r="D75" s="258">
        <v>0</v>
      </c>
      <c r="E75" s="259">
        <v>0</v>
      </c>
      <c r="F75" s="259">
        <v>0</v>
      </c>
      <c r="G75" s="259">
        <v>0</v>
      </c>
      <c r="H75" s="259">
        <v>0</v>
      </c>
      <c r="I75" s="259">
        <v>0</v>
      </c>
      <c r="J75" s="259">
        <v>0</v>
      </c>
      <c r="K75" s="259">
        <v>0</v>
      </c>
      <c r="L75" s="259">
        <v>0</v>
      </c>
      <c r="M75" s="259">
        <v>0</v>
      </c>
      <c r="N75" s="259">
        <v>0</v>
      </c>
    </row>
    <row r="76" spans="1:15" s="91" customFormat="1">
      <c r="A76" s="254" t="s">
        <v>485</v>
      </c>
      <c r="B76" s="254" t="s">
        <v>452</v>
      </c>
      <c r="C76" s="257" t="s">
        <v>499</v>
      </c>
      <c r="D76" s="258">
        <v>0</v>
      </c>
      <c r="E76" s="259">
        <v>0</v>
      </c>
      <c r="F76" s="259">
        <v>0</v>
      </c>
      <c r="G76" s="259">
        <v>0</v>
      </c>
      <c r="H76" s="259">
        <v>0</v>
      </c>
      <c r="I76" s="259">
        <v>0</v>
      </c>
      <c r="J76" s="259">
        <v>0</v>
      </c>
      <c r="K76" s="259">
        <v>0</v>
      </c>
      <c r="L76" s="259">
        <v>0</v>
      </c>
      <c r="M76" s="259">
        <v>0</v>
      </c>
      <c r="N76" s="259">
        <v>0</v>
      </c>
    </row>
    <row r="77" spans="1:15" s="91" customFormat="1">
      <c r="A77" s="254" t="s">
        <v>485</v>
      </c>
      <c r="B77" s="254" t="s">
        <v>454</v>
      </c>
      <c r="C77" s="257" t="s">
        <v>500</v>
      </c>
      <c r="D77" s="258">
        <f>+D78</f>
        <v>9154550</v>
      </c>
      <c r="E77" s="259">
        <f>+E78</f>
        <v>7586720</v>
      </c>
      <c r="F77" s="259">
        <f t="shared" ref="F77:N77" si="18">+F78</f>
        <v>114030</v>
      </c>
      <c r="G77" s="259">
        <f t="shared" si="18"/>
        <v>1219710</v>
      </c>
      <c r="H77" s="259">
        <f t="shared" si="18"/>
        <v>0</v>
      </c>
      <c r="I77" s="259">
        <f t="shared" si="18"/>
        <v>0</v>
      </c>
      <c r="J77" s="259">
        <f t="shared" si="18"/>
        <v>18630</v>
      </c>
      <c r="K77" s="259">
        <f t="shared" si="18"/>
        <v>0</v>
      </c>
      <c r="L77" s="259">
        <f t="shared" si="18"/>
        <v>215460</v>
      </c>
      <c r="M77" s="259">
        <f t="shared" si="18"/>
        <v>0</v>
      </c>
      <c r="N77" s="259">
        <f t="shared" si="18"/>
        <v>0</v>
      </c>
      <c r="O77" s="260"/>
    </row>
    <row r="78" spans="1:15">
      <c r="A78" s="103"/>
      <c r="B78" s="103"/>
      <c r="C78" s="99" t="s">
        <v>501</v>
      </c>
      <c r="D78" s="262">
        <f>SUM(E78:N78)</f>
        <v>9154550</v>
      </c>
      <c r="E78" s="85">
        <f>+GOB!L15</f>
        <v>7586720</v>
      </c>
      <c r="F78" s="85">
        <f>+GOB!L16</f>
        <v>114030</v>
      </c>
      <c r="G78" s="85">
        <f>+GOB!L17</f>
        <v>1219710</v>
      </c>
      <c r="H78" s="85">
        <f>+GOB!L18</f>
        <v>0</v>
      </c>
      <c r="I78" s="85">
        <f>+GOB!L19</f>
        <v>0</v>
      </c>
      <c r="J78" s="85">
        <f>+GOB!L21</f>
        <v>18630</v>
      </c>
      <c r="K78" s="85">
        <f>+GOB!L22</f>
        <v>0</v>
      </c>
      <c r="L78" s="85">
        <f>+GOB!L23</f>
        <v>215460</v>
      </c>
      <c r="M78" s="85">
        <f>+GOB!L24</f>
        <v>0</v>
      </c>
      <c r="N78" s="85">
        <f>+GOB!L26</f>
        <v>0</v>
      </c>
    </row>
    <row r="79" spans="1:15">
      <c r="A79" s="254" t="s">
        <v>502</v>
      </c>
      <c r="B79" s="103"/>
      <c r="C79" s="255" t="s">
        <v>503</v>
      </c>
      <c r="D79" s="256">
        <f>+D81+D83+D85+D87</f>
        <v>41671840</v>
      </c>
      <c r="E79" s="256">
        <f>+E81+E83+E85+E87</f>
        <v>26814360</v>
      </c>
      <c r="F79" s="256">
        <f t="shared" ref="F79:N79" si="19">+F81+F83+F85+F87</f>
        <v>1089430</v>
      </c>
      <c r="G79" s="256">
        <f t="shared" si="19"/>
        <v>8130500</v>
      </c>
      <c r="H79" s="256">
        <f t="shared" si="19"/>
        <v>0</v>
      </c>
      <c r="I79" s="256">
        <f t="shared" si="19"/>
        <v>3388880</v>
      </c>
      <c r="J79" s="256">
        <f t="shared" si="19"/>
        <v>187440</v>
      </c>
      <c r="K79" s="256">
        <f t="shared" si="19"/>
        <v>0</v>
      </c>
      <c r="L79" s="256">
        <f t="shared" si="19"/>
        <v>2061230</v>
      </c>
      <c r="M79" s="256">
        <f t="shared" si="19"/>
        <v>0</v>
      </c>
      <c r="N79" s="256">
        <f t="shared" si="19"/>
        <v>0</v>
      </c>
      <c r="O79" s="123"/>
    </row>
    <row r="80" spans="1:15" s="91" customFormat="1">
      <c r="A80" s="254" t="s">
        <v>502</v>
      </c>
      <c r="B80" s="254" t="s">
        <v>74</v>
      </c>
      <c r="C80" s="257" t="s">
        <v>504</v>
      </c>
      <c r="D80" s="258">
        <v>0</v>
      </c>
      <c r="E80" s="259">
        <v>0</v>
      </c>
      <c r="F80" s="259">
        <v>0</v>
      </c>
      <c r="G80" s="259">
        <v>0</v>
      </c>
      <c r="H80" s="259">
        <v>0</v>
      </c>
      <c r="I80" s="259">
        <v>0</v>
      </c>
      <c r="J80" s="259">
        <v>0</v>
      </c>
      <c r="K80" s="259">
        <v>0</v>
      </c>
      <c r="L80" s="259">
        <v>0</v>
      </c>
      <c r="M80" s="259">
        <v>0</v>
      </c>
      <c r="N80" s="259">
        <v>0</v>
      </c>
    </row>
    <row r="81" spans="1:15" s="91" customFormat="1">
      <c r="A81" s="254" t="s">
        <v>502</v>
      </c>
      <c r="B81" s="254" t="s">
        <v>94</v>
      </c>
      <c r="C81" s="257" t="s">
        <v>505</v>
      </c>
      <c r="D81" s="258">
        <f>+D82</f>
        <v>8770660</v>
      </c>
      <c r="E81" s="259">
        <f>+E82</f>
        <v>2510080</v>
      </c>
      <c r="F81" s="259">
        <f t="shared" ref="F81:N81" si="20">+F82</f>
        <v>2330</v>
      </c>
      <c r="G81" s="259">
        <f t="shared" si="20"/>
        <v>2499850</v>
      </c>
      <c r="H81" s="259">
        <f t="shared" si="20"/>
        <v>0</v>
      </c>
      <c r="I81" s="259">
        <f t="shared" si="20"/>
        <v>1684670</v>
      </c>
      <c r="J81" s="259">
        <f t="shared" si="20"/>
        <v>12500</v>
      </c>
      <c r="K81" s="259">
        <f t="shared" si="20"/>
        <v>0</v>
      </c>
      <c r="L81" s="259">
        <f t="shared" si="20"/>
        <v>2061230</v>
      </c>
      <c r="M81" s="259">
        <f t="shared" si="20"/>
        <v>0</v>
      </c>
      <c r="N81" s="259">
        <f t="shared" si="20"/>
        <v>0</v>
      </c>
    </row>
    <row r="82" spans="1:15">
      <c r="A82" s="103"/>
      <c r="B82" s="103"/>
      <c r="C82" s="99" t="s">
        <v>506</v>
      </c>
      <c r="D82" s="262">
        <f>SUM(E82:N82)</f>
        <v>8770660</v>
      </c>
      <c r="E82" s="85">
        <f>+OBRAS!I15</f>
        <v>2510080</v>
      </c>
      <c r="F82" s="85">
        <f>+OBRAS!I16</f>
        <v>2330</v>
      </c>
      <c r="G82" s="85">
        <f>+OBRAS!I17</f>
        <v>2499850</v>
      </c>
      <c r="H82" s="85">
        <f>+OBRAS!I18</f>
        <v>0</v>
      </c>
      <c r="I82" s="85">
        <f>+OBRAS!I19</f>
        <v>1684670</v>
      </c>
      <c r="J82" s="85">
        <f>+OBRAS!I21</f>
        <v>12500</v>
      </c>
      <c r="K82" s="85">
        <f>+OBRAS!I22</f>
        <v>0</v>
      </c>
      <c r="L82" s="85">
        <f>+OBRAS!I23</f>
        <v>2061230</v>
      </c>
      <c r="M82" s="85">
        <f>+OBRAS!I24</f>
        <v>0</v>
      </c>
      <c r="N82" s="85">
        <f>+OBRAS!J26</f>
        <v>0</v>
      </c>
    </row>
    <row r="83" spans="1:15" s="91" customFormat="1">
      <c r="A83" s="254" t="s">
        <v>502</v>
      </c>
      <c r="B83" s="254" t="s">
        <v>347</v>
      </c>
      <c r="C83" s="257" t="s">
        <v>507</v>
      </c>
      <c r="D83" s="258">
        <f>+D84</f>
        <v>12217610</v>
      </c>
      <c r="E83" s="259">
        <f>+E84</f>
        <v>5848630</v>
      </c>
      <c r="F83" s="259">
        <f t="shared" ref="F83:N83" si="21">+F84</f>
        <v>156480</v>
      </c>
      <c r="G83" s="259">
        <f t="shared" si="21"/>
        <v>4455390</v>
      </c>
      <c r="H83" s="259">
        <f t="shared" si="21"/>
        <v>0</v>
      </c>
      <c r="I83" s="259">
        <f t="shared" si="21"/>
        <v>1704210</v>
      </c>
      <c r="J83" s="259">
        <f t="shared" si="21"/>
        <v>52900</v>
      </c>
      <c r="K83" s="259">
        <f t="shared" si="21"/>
        <v>0</v>
      </c>
      <c r="L83" s="259">
        <f t="shared" si="21"/>
        <v>0</v>
      </c>
      <c r="M83" s="259">
        <f t="shared" si="21"/>
        <v>0</v>
      </c>
      <c r="N83" s="259">
        <f t="shared" si="21"/>
        <v>0</v>
      </c>
    </row>
    <row r="84" spans="1:15" s="91" customFormat="1">
      <c r="A84" s="254"/>
      <c r="B84" s="254"/>
      <c r="C84" s="99" t="s">
        <v>508</v>
      </c>
      <c r="D84" s="262">
        <f>SUM(E84:N84)</f>
        <v>12217610</v>
      </c>
      <c r="E84" s="85">
        <f>+GOB!I15</f>
        <v>5848630</v>
      </c>
      <c r="F84" s="85">
        <f>+GOB!I16</f>
        <v>156480</v>
      </c>
      <c r="G84" s="85">
        <f>+GOB!I17</f>
        <v>4455390</v>
      </c>
      <c r="H84" s="85">
        <f>+GOB!I18</f>
        <v>0</v>
      </c>
      <c r="I84" s="85">
        <f>+GOB!I19</f>
        <v>1704210</v>
      </c>
      <c r="J84" s="85">
        <f>+GOB!I21</f>
        <v>52900</v>
      </c>
      <c r="K84" s="85">
        <f>+GOB!I22</f>
        <v>0</v>
      </c>
      <c r="L84" s="85">
        <f>+GOB!I23</f>
        <v>0</v>
      </c>
      <c r="M84" s="85">
        <f>+GOB!I24</f>
        <v>0</v>
      </c>
      <c r="N84" s="85">
        <f>+GOB!I26</f>
        <v>0</v>
      </c>
    </row>
    <row r="85" spans="1:15" s="91" customFormat="1">
      <c r="A85" s="254" t="s">
        <v>502</v>
      </c>
      <c r="B85" s="254" t="s">
        <v>362</v>
      </c>
      <c r="C85" s="257" t="s">
        <v>509</v>
      </c>
      <c r="D85" s="258">
        <f>+D86</f>
        <v>20683570</v>
      </c>
      <c r="E85" s="259">
        <f>+E86</f>
        <v>18455650</v>
      </c>
      <c r="F85" s="259">
        <f t="shared" ref="F85:N85" si="22">+F86</f>
        <v>930620</v>
      </c>
      <c r="G85" s="259">
        <f t="shared" si="22"/>
        <v>1175260</v>
      </c>
      <c r="H85" s="259">
        <f t="shared" si="22"/>
        <v>0</v>
      </c>
      <c r="I85" s="259">
        <f t="shared" si="22"/>
        <v>0</v>
      </c>
      <c r="J85" s="259">
        <f t="shared" si="22"/>
        <v>122040</v>
      </c>
      <c r="K85" s="259">
        <f t="shared" si="22"/>
        <v>0</v>
      </c>
      <c r="L85" s="259">
        <f t="shared" si="22"/>
        <v>0</v>
      </c>
      <c r="M85" s="259">
        <f t="shared" si="22"/>
        <v>0</v>
      </c>
      <c r="N85" s="259">
        <f t="shared" si="22"/>
        <v>0</v>
      </c>
    </row>
    <row r="86" spans="1:15">
      <c r="A86" s="103"/>
      <c r="B86" s="103"/>
      <c r="C86" s="99" t="s">
        <v>510</v>
      </c>
      <c r="D86" s="262">
        <f>SUM(E86:N86)</f>
        <v>20683570</v>
      </c>
      <c r="E86" s="85">
        <f>+GOB!F15</f>
        <v>18455650</v>
      </c>
      <c r="F86" s="85">
        <f>+GOB!F16</f>
        <v>930620</v>
      </c>
      <c r="G86" s="85">
        <f>+GOB!F17</f>
        <v>1175260</v>
      </c>
      <c r="H86" s="85">
        <f>+GOB!F18</f>
        <v>0</v>
      </c>
      <c r="I86" s="85">
        <f>+GOB!F19</f>
        <v>0</v>
      </c>
      <c r="J86" s="85">
        <f>+GOB!F21</f>
        <v>122040</v>
      </c>
      <c r="K86" s="85">
        <f>+GOB!F22</f>
        <v>0</v>
      </c>
      <c r="L86" s="85">
        <f>+GOB!F23</f>
        <v>0</v>
      </c>
      <c r="M86" s="85">
        <f>+GOB!F24</f>
        <v>0</v>
      </c>
      <c r="N86" s="85">
        <f>+GOB!F26</f>
        <v>0</v>
      </c>
    </row>
    <row r="87" spans="1:15" s="91" customFormat="1">
      <c r="A87" s="254" t="s">
        <v>502</v>
      </c>
      <c r="B87" s="254" t="s">
        <v>454</v>
      </c>
      <c r="C87" s="257" t="s">
        <v>511</v>
      </c>
      <c r="D87" s="258">
        <v>0</v>
      </c>
      <c r="E87" s="259">
        <v>0</v>
      </c>
      <c r="F87" s="259">
        <v>0</v>
      </c>
      <c r="G87" s="259">
        <v>0</v>
      </c>
      <c r="H87" s="259">
        <v>0</v>
      </c>
      <c r="I87" s="259">
        <v>0</v>
      </c>
      <c r="J87" s="259">
        <v>0</v>
      </c>
      <c r="K87" s="259">
        <v>0</v>
      </c>
      <c r="L87" s="259">
        <v>0</v>
      </c>
      <c r="M87" s="259">
        <v>0</v>
      </c>
      <c r="N87" s="259">
        <v>0</v>
      </c>
    </row>
    <row r="88" spans="1:15">
      <c r="A88" s="254" t="s">
        <v>512</v>
      </c>
      <c r="B88" s="103"/>
      <c r="C88" s="255" t="s">
        <v>513</v>
      </c>
      <c r="D88" s="256">
        <f>+D89</f>
        <v>44552280</v>
      </c>
      <c r="E88" s="256">
        <f t="shared" ref="E88:N88" si="23">+E89</f>
        <v>0</v>
      </c>
      <c r="F88" s="256">
        <f t="shared" si="23"/>
        <v>0</v>
      </c>
      <c r="G88" s="256">
        <f t="shared" si="23"/>
        <v>0</v>
      </c>
      <c r="H88" s="256">
        <f t="shared" si="23"/>
        <v>0</v>
      </c>
      <c r="I88" s="256">
        <f t="shared" si="23"/>
        <v>0</v>
      </c>
      <c r="J88" s="256">
        <f t="shared" si="23"/>
        <v>0</v>
      </c>
      <c r="K88" s="256">
        <f t="shared" si="23"/>
        <v>0</v>
      </c>
      <c r="L88" s="256">
        <f t="shared" si="23"/>
        <v>0</v>
      </c>
      <c r="M88" s="256">
        <f t="shared" si="23"/>
        <v>0</v>
      </c>
      <c r="N88" s="256">
        <f t="shared" si="23"/>
        <v>44552280</v>
      </c>
    </row>
    <row r="89" spans="1:15">
      <c r="A89" s="103" t="s">
        <v>512</v>
      </c>
      <c r="B89" s="103" t="s">
        <v>74</v>
      </c>
      <c r="C89" s="99" t="s">
        <v>514</v>
      </c>
      <c r="D89" s="262">
        <f>SUM(E89:N89)</f>
        <v>44552280</v>
      </c>
      <c r="E89" s="85"/>
      <c r="F89" s="85"/>
      <c r="G89" s="85"/>
      <c r="H89" s="85"/>
      <c r="I89" s="85"/>
      <c r="J89" s="85"/>
      <c r="K89" s="85"/>
      <c r="L89" s="85"/>
      <c r="M89" s="85"/>
      <c r="N89" s="85">
        <f>+'HAC B'!C121</f>
        <v>44552280</v>
      </c>
    </row>
    <row r="90" spans="1:15">
      <c r="A90" s="254" t="s">
        <v>515</v>
      </c>
      <c r="B90" s="103"/>
      <c r="C90" s="255" t="s">
        <v>516</v>
      </c>
      <c r="D90" s="256">
        <f>+D91</f>
        <v>215531490</v>
      </c>
      <c r="E90" s="256">
        <f t="shared" ref="E90:N90" si="24">+E91</f>
        <v>61372380</v>
      </c>
      <c r="F90" s="256">
        <f t="shared" si="24"/>
        <v>12427670</v>
      </c>
      <c r="G90" s="256">
        <f t="shared" si="24"/>
        <v>35080290</v>
      </c>
      <c r="H90" s="256">
        <f t="shared" si="24"/>
        <v>0</v>
      </c>
      <c r="I90" s="256">
        <f t="shared" si="24"/>
        <v>1496250</v>
      </c>
      <c r="J90" s="256">
        <f t="shared" si="24"/>
        <v>2712570</v>
      </c>
      <c r="K90" s="256">
        <f t="shared" si="24"/>
        <v>102442330</v>
      </c>
      <c r="L90" s="256">
        <f t="shared" si="24"/>
        <v>0</v>
      </c>
      <c r="M90" s="256">
        <f t="shared" si="24"/>
        <v>0</v>
      </c>
      <c r="N90" s="256">
        <f t="shared" si="24"/>
        <v>0</v>
      </c>
    </row>
    <row r="91" spans="1:15" s="91" customFormat="1">
      <c r="A91" s="254" t="s">
        <v>515</v>
      </c>
      <c r="B91" s="254" t="s">
        <v>74</v>
      </c>
      <c r="C91" s="257" t="s">
        <v>517</v>
      </c>
      <c r="D91" s="258">
        <f>SUM(D92:D99)</f>
        <v>215531490</v>
      </c>
      <c r="E91" s="259">
        <f>SUM(E92:E99)</f>
        <v>61372380</v>
      </c>
      <c r="F91" s="259">
        <f t="shared" ref="F91:N91" si="25">SUM(F92:F99)</f>
        <v>12427670</v>
      </c>
      <c r="G91" s="259">
        <f t="shared" si="25"/>
        <v>35080290</v>
      </c>
      <c r="H91" s="259">
        <f t="shared" si="25"/>
        <v>0</v>
      </c>
      <c r="I91" s="259">
        <f t="shared" si="25"/>
        <v>1496250</v>
      </c>
      <c r="J91" s="259">
        <f t="shared" si="25"/>
        <v>2712570</v>
      </c>
      <c r="K91" s="259">
        <f t="shared" si="25"/>
        <v>102442330</v>
      </c>
      <c r="L91" s="259">
        <f t="shared" si="25"/>
        <v>0</v>
      </c>
      <c r="M91" s="259">
        <f t="shared" si="25"/>
        <v>0</v>
      </c>
      <c r="N91" s="259">
        <f t="shared" si="25"/>
        <v>0</v>
      </c>
    </row>
    <row r="92" spans="1:15">
      <c r="A92" s="103"/>
      <c r="B92" s="103"/>
      <c r="C92" s="99" t="s">
        <v>518</v>
      </c>
      <c r="D92" s="262">
        <f t="shared" ref="D92:D99" si="26">SUM(E92:N92)</f>
        <v>3785330</v>
      </c>
      <c r="E92" s="85">
        <f>+OBRAS!C15</f>
        <v>1527780</v>
      </c>
      <c r="F92" s="85">
        <f>+OBRAS!C16</f>
        <v>114870</v>
      </c>
      <c r="G92" s="85">
        <f>+OBRAS!C17</f>
        <v>1013490</v>
      </c>
      <c r="H92" s="85">
        <f>+OBRAS!C18</f>
        <v>0</v>
      </c>
      <c r="I92" s="85">
        <f>+OBRAS!C19</f>
        <v>0</v>
      </c>
      <c r="J92" s="85">
        <f>+OBRAS!C21</f>
        <v>1129190</v>
      </c>
      <c r="K92" s="85">
        <f>+OBRAS!C22</f>
        <v>0</v>
      </c>
      <c r="L92" s="85">
        <f>+OBRAS!C23</f>
        <v>0</v>
      </c>
      <c r="M92" s="85">
        <f>+OBRAS!C24</f>
        <v>0</v>
      </c>
      <c r="N92" s="85">
        <f>+OBRAS!C26</f>
        <v>0</v>
      </c>
      <c r="O92" s="123"/>
    </row>
    <row r="93" spans="1:15">
      <c r="A93" s="103"/>
      <c r="B93" s="103"/>
      <c r="C93" s="99" t="s">
        <v>519</v>
      </c>
      <c r="D93" s="262">
        <f t="shared" si="26"/>
        <v>9413470</v>
      </c>
      <c r="E93" s="85">
        <f>+'OBRAS B'!E28+'OBRAS B'!E46</f>
        <v>2829880</v>
      </c>
      <c r="F93" s="85">
        <f>+'OBRAS B'!E66</f>
        <v>514320</v>
      </c>
      <c r="G93" s="85">
        <f>+'OBRAS B'!E92</f>
        <v>4453100</v>
      </c>
      <c r="H93" s="85">
        <f>+'OBRAS B'!E112</f>
        <v>0</v>
      </c>
      <c r="I93" s="85">
        <f>+'OBRAS B'!E114</f>
        <v>1496250</v>
      </c>
      <c r="J93" s="85">
        <f>+'OBRAS B'!E107</f>
        <v>119920</v>
      </c>
      <c r="K93" s="85">
        <f>+'OBRAS B'!E115</f>
        <v>0</v>
      </c>
      <c r="L93" s="85">
        <f>+'OBRAS B'!E117</f>
        <v>0</v>
      </c>
      <c r="M93" s="85">
        <f>+'OBRAS B'!E119</f>
        <v>0</v>
      </c>
      <c r="N93" s="85">
        <f>+'OBRAS B'!E121</f>
        <v>0</v>
      </c>
      <c r="O93" s="123"/>
    </row>
    <row r="94" spans="1:15" s="91" customFormat="1">
      <c r="A94" s="254"/>
      <c r="B94" s="254"/>
      <c r="C94" s="99" t="s">
        <v>520</v>
      </c>
      <c r="D94" s="262">
        <f t="shared" si="26"/>
        <v>92955010</v>
      </c>
      <c r="E94" s="85">
        <f>+'OBRAS B'!F28+'OBRAS B'!F46</f>
        <v>7397920</v>
      </c>
      <c r="F94" s="85">
        <f>+'OBRAS B'!F66</f>
        <v>2644120</v>
      </c>
      <c r="G94" s="85">
        <f>+'OBRAS B'!F92</f>
        <v>1271740</v>
      </c>
      <c r="H94" s="85">
        <v>0</v>
      </c>
      <c r="I94" s="85">
        <v>0</v>
      </c>
      <c r="J94" s="85">
        <f>+'OBRAS B'!F107</f>
        <v>152230</v>
      </c>
      <c r="K94" s="85">
        <f>+'OBRAS B'!F115</f>
        <v>81489000</v>
      </c>
      <c r="L94" s="85">
        <v>0</v>
      </c>
      <c r="M94" s="85">
        <v>0</v>
      </c>
      <c r="N94" s="85">
        <v>0</v>
      </c>
      <c r="O94" s="260"/>
    </row>
    <row r="95" spans="1:15">
      <c r="A95" s="254"/>
      <c r="B95" s="103"/>
      <c r="C95" s="99" t="s">
        <v>521</v>
      </c>
      <c r="D95" s="262">
        <f t="shared" si="26"/>
        <v>33643100</v>
      </c>
      <c r="E95" s="85">
        <f>+'OBRAS B'!H28+'OBRAS B'!H46</f>
        <v>1416070</v>
      </c>
      <c r="F95" s="85">
        <f>+'OBRAS B'!H66</f>
        <v>600000</v>
      </c>
      <c r="G95" s="85">
        <f>+'OBRAS B'!H92</f>
        <v>10162190</v>
      </c>
      <c r="H95" s="85">
        <v>0</v>
      </c>
      <c r="I95" s="85">
        <v>0</v>
      </c>
      <c r="J95" s="85">
        <f>+'OBRAS B'!H107</f>
        <v>511510</v>
      </c>
      <c r="K95" s="85">
        <f>+'OBRAS B'!H115</f>
        <v>20953330</v>
      </c>
      <c r="L95" s="85">
        <v>0</v>
      </c>
      <c r="M95" s="85">
        <v>0</v>
      </c>
      <c r="N95" s="85">
        <v>0</v>
      </c>
      <c r="O95" s="123"/>
    </row>
    <row r="96" spans="1:15">
      <c r="A96" s="254"/>
      <c r="B96" s="103"/>
      <c r="C96" s="99" t="s">
        <v>539</v>
      </c>
      <c r="D96" s="262">
        <f t="shared" si="26"/>
        <v>8718850</v>
      </c>
      <c r="E96" s="85">
        <f>+'OBRAS B'!I28+'OBRAS B'!I46</f>
        <v>7082220</v>
      </c>
      <c r="F96" s="85">
        <f>+'OBRAS B'!I66</f>
        <v>819950</v>
      </c>
      <c r="G96" s="85">
        <f>+'OBRAS B'!I92</f>
        <v>693590</v>
      </c>
      <c r="H96" s="85">
        <v>0</v>
      </c>
      <c r="I96" s="85">
        <v>0</v>
      </c>
      <c r="J96" s="85">
        <f>+'OBRAS B'!I107</f>
        <v>123090</v>
      </c>
      <c r="K96" s="85">
        <v>0</v>
      </c>
      <c r="L96" s="85">
        <v>0</v>
      </c>
      <c r="M96" s="85">
        <v>0</v>
      </c>
      <c r="N96" s="85">
        <v>0</v>
      </c>
      <c r="O96" s="123"/>
    </row>
    <row r="97" spans="1:15" s="91" customFormat="1">
      <c r="A97" s="254"/>
      <c r="B97" s="254"/>
      <c r="C97" s="99" t="s">
        <v>522</v>
      </c>
      <c r="D97" s="262">
        <f t="shared" si="26"/>
        <v>4051970</v>
      </c>
      <c r="E97" s="85">
        <f>+'OBRAS B'!J28+'OBRAS B'!J46</f>
        <v>3345340</v>
      </c>
      <c r="F97" s="85">
        <f>+'OBRAS B'!J66</f>
        <v>11370</v>
      </c>
      <c r="G97" s="85">
        <f>+'OBRAS B'!J92</f>
        <v>695260</v>
      </c>
      <c r="H97" s="85">
        <v>0</v>
      </c>
      <c r="I97" s="85">
        <v>0</v>
      </c>
      <c r="J97" s="85">
        <f>+'OBRAS B'!J107</f>
        <v>0</v>
      </c>
      <c r="K97" s="85">
        <v>0</v>
      </c>
      <c r="L97" s="85">
        <v>0</v>
      </c>
      <c r="M97" s="85">
        <v>0</v>
      </c>
      <c r="N97" s="85">
        <v>0</v>
      </c>
      <c r="O97" s="260"/>
    </row>
    <row r="98" spans="1:15">
      <c r="A98" s="103"/>
      <c r="B98" s="103"/>
      <c r="C98" s="99" t="s">
        <v>523</v>
      </c>
      <c r="D98" s="262">
        <f t="shared" si="26"/>
        <v>55651870</v>
      </c>
      <c r="E98" s="85">
        <f>+OBRAS!F15</f>
        <v>30855680</v>
      </c>
      <c r="F98" s="85">
        <f>+'OBRAS A'!F19</f>
        <v>7677050</v>
      </c>
      <c r="G98" s="85">
        <f>+'OBRAS A'!F20</f>
        <v>16487170</v>
      </c>
      <c r="H98" s="85">
        <v>0</v>
      </c>
      <c r="I98" s="85">
        <v>0</v>
      </c>
      <c r="J98" s="85">
        <f>+'OBRAS A'!F25</f>
        <v>631970</v>
      </c>
      <c r="K98" s="85">
        <v>0</v>
      </c>
      <c r="L98" s="85">
        <v>0</v>
      </c>
      <c r="M98" s="85">
        <v>0</v>
      </c>
      <c r="N98" s="85">
        <v>0</v>
      </c>
      <c r="O98" s="123"/>
    </row>
    <row r="99" spans="1:15" s="91" customFormat="1">
      <c r="A99" s="254"/>
      <c r="B99" s="254"/>
      <c r="C99" s="99" t="s">
        <v>524</v>
      </c>
      <c r="D99" s="262">
        <f t="shared" si="26"/>
        <v>7311890</v>
      </c>
      <c r="E99" s="85">
        <f>+OBRAS!G15</f>
        <v>6917490</v>
      </c>
      <c r="F99" s="85">
        <f>+'OBRAS A'!G19</f>
        <v>45990</v>
      </c>
      <c r="G99" s="85">
        <f>+OBRAS!G17</f>
        <v>303750</v>
      </c>
      <c r="H99" s="85">
        <v>0</v>
      </c>
      <c r="I99" s="85">
        <v>0</v>
      </c>
      <c r="J99" s="85">
        <f>+OBRAS!G21</f>
        <v>44660</v>
      </c>
      <c r="K99" s="85">
        <v>0</v>
      </c>
      <c r="L99" s="85">
        <v>0</v>
      </c>
      <c r="M99" s="85">
        <v>0</v>
      </c>
      <c r="N99" s="85">
        <v>0</v>
      </c>
    </row>
    <row r="100" spans="1:15" s="91" customFormat="1">
      <c r="A100" s="404" t="s">
        <v>239</v>
      </c>
      <c r="B100" s="404"/>
      <c r="C100" s="404"/>
      <c r="D100" s="266">
        <f>+D13+D39+D43+D51+D63+D79+D88+D90</f>
        <v>687488590</v>
      </c>
      <c r="E100" s="266">
        <f t="shared" ref="E100:N100" si="27">+E13+E39+E43+E51+E63+E79+E88+E90</f>
        <v>282382800</v>
      </c>
      <c r="F100" s="266">
        <f t="shared" si="27"/>
        <v>28875590</v>
      </c>
      <c r="G100" s="266">
        <f t="shared" si="27"/>
        <v>169171620</v>
      </c>
      <c r="H100" s="266">
        <f t="shared" si="27"/>
        <v>833650</v>
      </c>
      <c r="I100" s="266">
        <f t="shared" si="27"/>
        <v>7033720</v>
      </c>
      <c r="J100" s="266">
        <f t="shared" si="27"/>
        <v>12214990</v>
      </c>
      <c r="K100" s="266">
        <f t="shared" si="27"/>
        <v>138762330</v>
      </c>
      <c r="L100" s="266">
        <f t="shared" si="27"/>
        <v>2276690</v>
      </c>
      <c r="M100" s="266">
        <f t="shared" si="27"/>
        <v>1384920</v>
      </c>
      <c r="N100" s="266">
        <f t="shared" si="27"/>
        <v>44552280</v>
      </c>
    </row>
    <row r="102" spans="1:15">
      <c r="E102" s="123"/>
      <c r="F102" s="123"/>
    </row>
    <row r="103" spans="1:15">
      <c r="D103" s="123"/>
    </row>
  </sheetData>
  <mergeCells count="6">
    <mergeCell ref="A100:C100"/>
    <mergeCell ref="A55:D55"/>
    <mergeCell ref="A57:B57"/>
    <mergeCell ref="A11:B11"/>
    <mergeCell ref="A8:N8"/>
    <mergeCell ref="A9:N9"/>
  </mergeCells>
  <printOptions horizontalCentered="1"/>
  <pageMargins left="0" right="0" top="0.55118110236220474" bottom="0.74803149606299213" header="0.31496062992125984" footer="0.31496062992125984"/>
  <pageSetup paperSize="9" scale="55" orientation="landscape" r:id="rId1"/>
  <rowBreaks count="1" manualBreakCount="1">
    <brk id="55" max="16383" man="1"/>
  </rowBreaks>
  <drawing r:id="rId2"/>
</worksheet>
</file>

<file path=xl/worksheets/sheet26.xml><?xml version="1.0" encoding="utf-8"?>
<worksheet xmlns="http://schemas.openxmlformats.org/spreadsheetml/2006/main" xmlns:r="http://schemas.openxmlformats.org/officeDocument/2006/relationships">
  <dimension ref="A1:C49"/>
  <sheetViews>
    <sheetView workbookViewId="0">
      <selection activeCell="E38" sqref="E38"/>
    </sheetView>
  </sheetViews>
  <sheetFormatPr baseColWidth="10" defaultRowHeight="15"/>
  <cols>
    <col min="2" max="2" width="41.85546875" bestFit="1" customWidth="1"/>
    <col min="3" max="3" width="40.140625" bestFit="1" customWidth="1"/>
  </cols>
  <sheetData>
    <row r="1" spans="1:3" s="1" customFormat="1">
      <c r="A1" s="95"/>
      <c r="B1" s="95"/>
      <c r="C1"/>
    </row>
    <row r="2" spans="1:3" s="1" customFormat="1">
      <c r="A2" s="95"/>
      <c r="B2" s="95"/>
      <c r="C2"/>
    </row>
    <row r="3" spans="1:3" s="1" customFormat="1" ht="12.75">
      <c r="A3" s="95"/>
      <c r="B3" s="95"/>
    </row>
    <row r="4" spans="1:3" s="1" customFormat="1" ht="12.75">
      <c r="A4" s="95"/>
      <c r="B4" s="95"/>
    </row>
    <row r="5" spans="1:3" s="1" customFormat="1" ht="12.75">
      <c r="A5" s="95"/>
      <c r="B5" s="95"/>
    </row>
    <row r="6" spans="1:3" s="1" customFormat="1" ht="13.5" thickBot="1">
      <c r="A6" s="100"/>
      <c r="B6" s="100"/>
      <c r="C6" s="6"/>
    </row>
    <row r="7" spans="1:3" ht="10.5" customHeight="1" thickTop="1">
      <c r="A7" s="80"/>
      <c r="B7" s="80"/>
    </row>
    <row r="8" spans="1:3" s="20" customFormat="1">
      <c r="A8" s="1" t="str">
        <f>+'FIN_FUNC A'!A7</f>
        <v>Ordenanza Nº 6355/14</v>
      </c>
      <c r="B8" s="321"/>
      <c r="C8" s="322" t="s">
        <v>731</v>
      </c>
    </row>
    <row r="9" spans="1:3">
      <c r="A9" s="1"/>
      <c r="B9" s="1"/>
      <c r="C9" s="1"/>
    </row>
    <row r="10" spans="1:3">
      <c r="A10" s="1"/>
      <c r="B10" s="1"/>
      <c r="C10" s="1"/>
    </row>
    <row r="11" spans="1:3" ht="15.75">
      <c r="A11" s="408" t="s">
        <v>747</v>
      </c>
      <c r="B11" s="408"/>
      <c r="C11" s="408"/>
    </row>
    <row r="12" spans="1:3" ht="15.75">
      <c r="A12" s="323"/>
      <c r="B12" s="323"/>
      <c r="C12" s="323"/>
    </row>
    <row r="13" spans="1:3" ht="15.75">
      <c r="A13" s="408" t="s">
        <v>732</v>
      </c>
      <c r="B13" s="408"/>
      <c r="C13" s="408"/>
    </row>
    <row r="14" spans="1:3">
      <c r="A14" s="324"/>
      <c r="B14" s="324"/>
      <c r="C14" s="324"/>
    </row>
    <row r="15" spans="1:3">
      <c r="A15" s="407" t="s">
        <v>540</v>
      </c>
      <c r="B15" s="407"/>
      <c r="C15" s="407"/>
    </row>
    <row r="16" spans="1:3">
      <c r="A16" s="325"/>
      <c r="B16" s="325"/>
      <c r="C16" s="325"/>
    </row>
    <row r="17" spans="1:3">
      <c r="A17" s="407" t="s">
        <v>541</v>
      </c>
      <c r="B17" s="407"/>
      <c r="C17" s="407"/>
    </row>
    <row r="18" spans="1:3">
      <c r="A18" s="325"/>
      <c r="B18" s="325"/>
      <c r="C18" s="325"/>
    </row>
    <row r="19" spans="1:3">
      <c r="A19" s="407" t="s">
        <v>551</v>
      </c>
      <c r="B19" s="407"/>
      <c r="C19" s="407"/>
    </row>
    <row r="20" spans="1:3" ht="15.75" thickBot="1">
      <c r="A20" s="326"/>
      <c r="B20" s="326"/>
      <c r="C20" s="326"/>
    </row>
    <row r="21" spans="1:3" ht="15.75" thickBot="1">
      <c r="A21" s="327" t="s">
        <v>733</v>
      </c>
      <c r="B21" s="327" t="s">
        <v>540</v>
      </c>
      <c r="C21" s="327" t="s">
        <v>5</v>
      </c>
    </row>
    <row r="22" spans="1:3">
      <c r="A22" s="328"/>
      <c r="B22" s="328"/>
      <c r="C22" s="328"/>
    </row>
    <row r="23" spans="1:3">
      <c r="A23" s="329">
        <v>69</v>
      </c>
      <c r="B23" s="328" t="s">
        <v>734</v>
      </c>
      <c r="C23" s="330">
        <v>1</v>
      </c>
    </row>
    <row r="24" spans="1:3">
      <c r="A24" s="329">
        <v>68</v>
      </c>
      <c r="B24" s="328" t="s">
        <v>542</v>
      </c>
      <c r="C24" s="330">
        <v>0.93</v>
      </c>
    </row>
    <row r="25" spans="1:3">
      <c r="A25" s="331">
        <v>49</v>
      </c>
      <c r="B25" s="332" t="s">
        <v>695</v>
      </c>
      <c r="C25" s="333">
        <v>0.83</v>
      </c>
    </row>
    <row r="26" spans="1:3">
      <c r="A26" s="329">
        <v>50</v>
      </c>
      <c r="B26" s="328" t="s">
        <v>543</v>
      </c>
      <c r="C26" s="330">
        <v>0.79</v>
      </c>
    </row>
    <row r="27" spans="1:3">
      <c r="A27" s="329">
        <v>51</v>
      </c>
      <c r="B27" s="328" t="s">
        <v>544</v>
      </c>
      <c r="C27" s="330">
        <v>0.72</v>
      </c>
    </row>
    <row r="28" spans="1:3">
      <c r="A28" s="329">
        <v>52</v>
      </c>
      <c r="B28" s="328" t="s">
        <v>545</v>
      </c>
      <c r="C28" s="330">
        <v>0.65</v>
      </c>
    </row>
    <row r="29" spans="1:3">
      <c r="A29" s="329">
        <v>53</v>
      </c>
      <c r="B29" s="328" t="s">
        <v>546</v>
      </c>
      <c r="C29" s="330">
        <v>0.57999999999999996</v>
      </c>
    </row>
    <row r="30" spans="1:3">
      <c r="A30" s="329">
        <v>54</v>
      </c>
      <c r="B30" s="328" t="s">
        <v>547</v>
      </c>
      <c r="C30" s="330">
        <v>0.51</v>
      </c>
    </row>
    <row r="31" spans="1:3">
      <c r="A31" s="329"/>
      <c r="B31" s="328"/>
      <c r="C31" s="328"/>
    </row>
    <row r="32" spans="1:3">
      <c r="A32" s="334"/>
      <c r="B32" s="335" t="s">
        <v>541</v>
      </c>
      <c r="C32" s="336"/>
    </row>
    <row r="33" spans="1:3">
      <c r="A33" s="329"/>
      <c r="B33" s="328"/>
      <c r="C33" s="328"/>
    </row>
    <row r="34" spans="1:3">
      <c r="A34" s="329">
        <v>75</v>
      </c>
      <c r="B34" s="328" t="s">
        <v>548</v>
      </c>
      <c r="C34" s="330">
        <v>0.95</v>
      </c>
    </row>
    <row r="35" spans="1:3">
      <c r="A35" s="329">
        <v>72</v>
      </c>
      <c r="B35" s="328" t="s">
        <v>549</v>
      </c>
      <c r="C35" s="330">
        <v>0.93</v>
      </c>
    </row>
    <row r="36" spans="1:3">
      <c r="A36" s="329">
        <v>78</v>
      </c>
      <c r="B36" s="328" t="s">
        <v>550</v>
      </c>
      <c r="C36" s="330">
        <v>0.72</v>
      </c>
    </row>
    <row r="37" spans="1:3">
      <c r="A37" s="329"/>
      <c r="B37" s="328"/>
      <c r="C37" s="328"/>
    </row>
    <row r="38" spans="1:3">
      <c r="A38" s="334"/>
      <c r="B38" s="335" t="s">
        <v>551</v>
      </c>
      <c r="C38" s="336"/>
    </row>
    <row r="39" spans="1:3">
      <c r="A39" s="329"/>
      <c r="B39" s="328"/>
      <c r="C39" s="328"/>
    </row>
    <row r="40" spans="1:3">
      <c r="A40" s="329">
        <v>67</v>
      </c>
      <c r="B40" s="328" t="s">
        <v>735</v>
      </c>
      <c r="C40" s="330">
        <v>0.95</v>
      </c>
    </row>
    <row r="41" spans="1:3">
      <c r="A41" s="329">
        <v>65</v>
      </c>
      <c r="B41" s="328" t="s">
        <v>736</v>
      </c>
      <c r="C41" s="330">
        <v>0.85</v>
      </c>
    </row>
    <row r="42" spans="1:3" ht="15.75" thickBot="1">
      <c r="A42" s="337">
        <v>64</v>
      </c>
      <c r="B42" s="338" t="s">
        <v>737</v>
      </c>
      <c r="C42" s="330">
        <v>0.55000000000000004</v>
      </c>
    </row>
    <row r="43" spans="1:3">
      <c r="A43" s="339"/>
      <c r="B43" s="339"/>
      <c r="C43" s="340"/>
    </row>
    <row r="44" spans="1:3">
      <c r="A44" s="5"/>
      <c r="B44" s="5"/>
      <c r="C44" s="341"/>
    </row>
    <row r="45" spans="1:3">
      <c r="A45" s="342" t="s">
        <v>749</v>
      </c>
      <c r="B45" s="343"/>
      <c r="C45" s="341"/>
    </row>
    <row r="46" spans="1:3">
      <c r="A46" s="344" t="s">
        <v>738</v>
      </c>
      <c r="B46" s="343"/>
      <c r="C46" s="341"/>
    </row>
    <row r="47" spans="1:3">
      <c r="A47" s="344" t="s">
        <v>872</v>
      </c>
      <c r="B47" s="343"/>
      <c r="C47" s="341"/>
    </row>
    <row r="48" spans="1:3">
      <c r="A48" s="342" t="s">
        <v>739</v>
      </c>
      <c r="B48" s="1"/>
      <c r="C48" s="341"/>
    </row>
    <row r="49" spans="1:3">
      <c r="A49" s="1"/>
      <c r="B49" s="1"/>
      <c r="C49" s="1"/>
    </row>
  </sheetData>
  <mergeCells count="5">
    <mergeCell ref="A19:C19"/>
    <mergeCell ref="A13:C13"/>
    <mergeCell ref="A15:C15"/>
    <mergeCell ref="A17:C17"/>
    <mergeCell ref="A11:C11"/>
  </mergeCells>
  <printOptions horizontalCentered="1"/>
  <pageMargins left="0" right="0" top="0.51181102362204722" bottom="0.74803149606299213" header="0.31496062992125984" footer="0.31496062992125984"/>
  <pageSetup paperSize="9" scale="77" orientation="portrait" r:id="rId1"/>
  <drawing r:id="rId2"/>
</worksheet>
</file>

<file path=xl/worksheets/sheet27.xml><?xml version="1.0" encoding="utf-8"?>
<worksheet xmlns="http://schemas.openxmlformats.org/spreadsheetml/2006/main" xmlns:r="http://schemas.openxmlformats.org/officeDocument/2006/relationships">
  <dimension ref="A1:L56"/>
  <sheetViews>
    <sheetView workbookViewId="0">
      <selection activeCell="G9" sqref="G9:I9"/>
    </sheetView>
  </sheetViews>
  <sheetFormatPr baseColWidth="10" defaultRowHeight="15"/>
  <cols>
    <col min="1" max="1" width="44" bestFit="1" customWidth="1"/>
    <col min="3" max="3" width="11.42578125" customWidth="1"/>
    <col min="4" max="4" width="11.140625" bestFit="1" customWidth="1"/>
    <col min="5" max="5" width="1.7109375" customWidth="1"/>
    <col min="6" max="6" width="29.28515625" customWidth="1"/>
    <col min="7" max="9" width="11.42578125" customWidth="1"/>
  </cols>
  <sheetData>
    <row r="1" spans="1:10" s="1" customFormat="1">
      <c r="A1" s="95"/>
      <c r="B1"/>
    </row>
    <row r="2" spans="1:10" s="1" customFormat="1" ht="12.75">
      <c r="A2" s="95"/>
    </row>
    <row r="3" spans="1:10" s="1" customFormat="1" ht="12.75">
      <c r="A3" s="95"/>
    </row>
    <row r="4" spans="1:10" s="1" customFormat="1" ht="12.75">
      <c r="A4" s="95"/>
    </row>
    <row r="5" spans="1:10" s="1" customFormat="1" ht="15.75" customHeight="1" thickBot="1">
      <c r="A5" s="100"/>
      <c r="B5" s="6"/>
      <c r="C5" s="6"/>
      <c r="D5" s="6"/>
      <c r="E5" s="6"/>
      <c r="F5" s="6"/>
      <c r="G5" s="6"/>
      <c r="H5" s="6"/>
      <c r="I5" s="6"/>
      <c r="J5" s="6"/>
    </row>
    <row r="6" spans="1:10" ht="10.5" customHeight="1" thickTop="1">
      <c r="A6" s="80"/>
    </row>
    <row r="7" spans="1:10" s="20" customFormat="1" ht="12.75">
      <c r="A7" s="104" t="s">
        <v>867</v>
      </c>
    </row>
    <row r="8" spans="1:10" s="133" customFormat="1" ht="18.75">
      <c r="A8" s="412" t="s">
        <v>747</v>
      </c>
      <c r="B8" s="412"/>
      <c r="C8" s="412"/>
      <c r="D8" s="412"/>
      <c r="E8" s="412"/>
      <c r="F8" s="412"/>
      <c r="G8" s="412"/>
      <c r="H8" s="412"/>
      <c r="I8" s="412"/>
    </row>
    <row r="9" spans="1:10" s="133" customFormat="1" ht="18.75">
      <c r="A9" s="134"/>
      <c r="B9" s="135"/>
      <c r="C9" s="134"/>
      <c r="D9" s="134"/>
      <c r="E9" s="134"/>
      <c r="F9" s="136"/>
      <c r="G9" s="136"/>
      <c r="H9" s="136"/>
      <c r="I9" s="136"/>
    </row>
    <row r="10" spans="1:10" s="133" customFormat="1" ht="12.75">
      <c r="A10" s="413" t="s">
        <v>0</v>
      </c>
      <c r="B10" s="413"/>
      <c r="C10" s="413"/>
      <c r="D10" s="413"/>
      <c r="E10" s="413"/>
      <c r="F10" s="413"/>
      <c r="G10" s="413"/>
      <c r="H10" s="413"/>
      <c r="I10" s="413"/>
    </row>
    <row r="11" spans="1:10" s="133" customFormat="1" ht="12.75">
      <c r="A11" s="413" t="s">
        <v>869</v>
      </c>
      <c r="B11" s="413"/>
      <c r="C11" s="413"/>
      <c r="D11" s="413"/>
      <c r="E11" s="413"/>
      <c r="F11" s="413"/>
      <c r="G11" s="413"/>
      <c r="H11" s="413"/>
      <c r="I11" s="413"/>
    </row>
    <row r="12" spans="1:10" s="133" customFormat="1" ht="12.75">
      <c r="A12" s="414" t="s">
        <v>552</v>
      </c>
      <c r="B12" s="414"/>
      <c r="C12" s="414"/>
      <c r="D12" s="414"/>
      <c r="E12" s="414"/>
      <c r="F12" s="414"/>
      <c r="G12" s="414"/>
      <c r="H12" s="414"/>
      <c r="I12" s="414"/>
    </row>
    <row r="13" spans="1:10" s="133" customFormat="1" ht="13.5" thickBot="1">
      <c r="A13" s="134"/>
      <c r="B13" s="135"/>
      <c r="C13" s="134"/>
      <c r="D13" s="134"/>
      <c r="E13" s="134"/>
      <c r="F13" s="137"/>
      <c r="G13" s="137"/>
      <c r="H13" s="137"/>
      <c r="I13" s="137"/>
    </row>
    <row r="14" spans="1:10" s="133" customFormat="1" ht="51.75" thickBot="1">
      <c r="A14" s="138" t="s">
        <v>553</v>
      </c>
      <c r="B14" s="138" t="s">
        <v>718</v>
      </c>
      <c r="C14" s="225" t="s">
        <v>753</v>
      </c>
      <c r="D14" s="139" t="s">
        <v>754</v>
      </c>
      <c r="E14" s="138"/>
      <c r="F14" s="138" t="s">
        <v>554</v>
      </c>
      <c r="G14" s="138" t="s">
        <v>718</v>
      </c>
      <c r="H14" s="225" t="s">
        <v>753</v>
      </c>
      <c r="I14" s="139" t="s">
        <v>754</v>
      </c>
    </row>
    <row r="15" spans="1:10" s="133" customFormat="1" ht="12.75">
      <c r="A15" s="134"/>
      <c r="B15" s="140"/>
      <c r="C15" s="135"/>
      <c r="D15" s="134"/>
      <c r="E15" s="134"/>
      <c r="F15" s="134"/>
      <c r="G15" s="140"/>
      <c r="H15" s="135"/>
    </row>
    <row r="16" spans="1:10" s="133" customFormat="1" ht="12.75">
      <c r="A16" s="141" t="s">
        <v>1</v>
      </c>
      <c r="B16" s="142">
        <f>+B18+B21+B25</f>
        <v>511041059</v>
      </c>
      <c r="C16" s="222">
        <f>+C18+C21+C25</f>
        <v>607465240</v>
      </c>
      <c r="D16" s="143">
        <f>+C16/B16-1</f>
        <v>0.18868186675388054</v>
      </c>
      <c r="E16" s="135"/>
      <c r="F16" s="144" t="s">
        <v>33</v>
      </c>
      <c r="G16" s="145">
        <f>+G18+G22+G23</f>
        <v>447071416</v>
      </c>
      <c r="H16" s="226">
        <f>H18+H22+H23</f>
        <v>488297380</v>
      </c>
      <c r="I16" s="146">
        <f>+H16/G16-1</f>
        <v>9.2213374697164729E-2</v>
      </c>
    </row>
    <row r="17" spans="1:11" s="133" customFormat="1" ht="12.75">
      <c r="A17" s="141"/>
      <c r="B17" s="142"/>
      <c r="C17" s="147"/>
      <c r="D17" s="143"/>
      <c r="E17" s="134"/>
      <c r="F17" s="134"/>
      <c r="G17" s="135"/>
      <c r="H17" s="135"/>
      <c r="I17" s="148"/>
    </row>
    <row r="18" spans="1:11" s="133" customFormat="1" ht="12.75">
      <c r="A18" s="149" t="s">
        <v>214</v>
      </c>
      <c r="B18" s="142">
        <f>SUM(B19:B20)</f>
        <v>211779699</v>
      </c>
      <c r="C18" s="222">
        <f>SUM(C19:C20)</f>
        <v>279908810</v>
      </c>
      <c r="D18" s="143">
        <f>+C18/B18-1</f>
        <v>0.32169802545616055</v>
      </c>
      <c r="E18" s="135"/>
      <c r="F18" s="150" t="s">
        <v>281</v>
      </c>
      <c r="G18" s="151">
        <f>G19+G20+G21</f>
        <v>439732876</v>
      </c>
      <c r="H18" s="227">
        <f>H19+H20+H21</f>
        <v>480430010</v>
      </c>
      <c r="I18" s="146">
        <f>+H18/G18-1</f>
        <v>9.2549673270278854E-2</v>
      </c>
    </row>
    <row r="19" spans="1:11" s="133" customFormat="1" ht="12.75">
      <c r="A19" s="131" t="s">
        <v>555</v>
      </c>
      <c r="B19" s="152">
        <v>210134742</v>
      </c>
      <c r="C19" s="221">
        <f>+resgral!B16</f>
        <v>279908810</v>
      </c>
      <c r="D19" s="153"/>
      <c r="E19" s="135"/>
      <c r="F19" s="134" t="s">
        <v>556</v>
      </c>
      <c r="G19" s="135">
        <v>258812190</v>
      </c>
      <c r="H19" s="221">
        <f>+resgral!F16</f>
        <v>282382800</v>
      </c>
      <c r="I19" s="148"/>
    </row>
    <row r="20" spans="1:11" s="133" customFormat="1" ht="12.75">
      <c r="A20" s="131" t="s">
        <v>557</v>
      </c>
      <c r="B20" s="152">
        <v>1644957</v>
      </c>
      <c r="C20" s="221">
        <f>+resgral!B17</f>
        <v>0</v>
      </c>
      <c r="D20" s="153"/>
      <c r="E20" s="135"/>
      <c r="F20" s="134" t="s">
        <v>558</v>
      </c>
      <c r="G20" s="135">
        <v>31958246</v>
      </c>
      <c r="H20" s="221">
        <f>+resgral!F17</f>
        <v>28875590</v>
      </c>
      <c r="I20" s="148"/>
    </row>
    <row r="21" spans="1:11" s="133" customFormat="1" ht="12.75">
      <c r="A21" s="149" t="s">
        <v>220</v>
      </c>
      <c r="B21" s="142">
        <f>+SUM(B22:B24)</f>
        <v>190985380</v>
      </c>
      <c r="C21" s="223">
        <f>+SUM(C22:C24)</f>
        <v>224881890</v>
      </c>
      <c r="D21" s="143">
        <f>+C21/B21-1</f>
        <v>0.17748222403201752</v>
      </c>
      <c r="E21" s="134"/>
      <c r="F21" s="134" t="s">
        <v>559</v>
      </c>
      <c r="G21" s="135">
        <v>148962440</v>
      </c>
      <c r="H21" s="221">
        <f>+resgral!F18</f>
        <v>169171620</v>
      </c>
      <c r="I21" s="148"/>
    </row>
    <row r="22" spans="1:11" s="133" customFormat="1" ht="12.75" customHeight="1">
      <c r="A22" s="131" t="s">
        <v>560</v>
      </c>
      <c r="B22" s="154">
        <v>190600500</v>
      </c>
      <c r="C22" s="221">
        <f>+resgral!B19</f>
        <v>224881890</v>
      </c>
      <c r="D22" s="153"/>
      <c r="E22" s="135"/>
      <c r="F22" s="134" t="s">
        <v>364</v>
      </c>
      <c r="G22" s="135">
        <v>847560</v>
      </c>
      <c r="H22" s="221">
        <f>+resgral!F19</f>
        <v>833650</v>
      </c>
      <c r="I22" s="148"/>
    </row>
    <row r="23" spans="1:11" s="133" customFormat="1" ht="12.75">
      <c r="A23" s="131" t="s">
        <v>774</v>
      </c>
      <c r="B23" s="152">
        <v>0</v>
      </c>
      <c r="C23" s="221">
        <f>+resgral!B20</f>
        <v>0</v>
      </c>
      <c r="D23" s="153"/>
      <c r="E23" s="135"/>
      <c r="F23" s="134" t="s">
        <v>562</v>
      </c>
      <c r="G23" s="135">
        <v>6490980</v>
      </c>
      <c r="H23" s="221">
        <f>+resgral!F20</f>
        <v>7033720</v>
      </c>
      <c r="I23" s="148"/>
    </row>
    <row r="24" spans="1:11" s="133" customFormat="1" ht="12.75">
      <c r="A24" s="131" t="s">
        <v>563</v>
      </c>
      <c r="B24" s="152">
        <v>384880</v>
      </c>
      <c r="C24" s="221">
        <f>+resgral!B21</f>
        <v>0</v>
      </c>
      <c r="D24" s="153"/>
      <c r="E24" s="135"/>
      <c r="F24" s="134"/>
      <c r="G24" s="135"/>
      <c r="H24" s="135"/>
      <c r="I24" s="148"/>
    </row>
    <row r="25" spans="1:11" s="133" customFormat="1" ht="12.75">
      <c r="A25" s="149" t="s">
        <v>564</v>
      </c>
      <c r="B25" s="142">
        <f>SUM(B26:B27)</f>
        <v>108275980</v>
      </c>
      <c r="C25" s="222">
        <f>SUM(C26:C27)</f>
        <v>102674540</v>
      </c>
      <c r="D25" s="143">
        <f>+C25/B25-1</f>
        <v>-5.1732988239866273E-2</v>
      </c>
      <c r="E25" s="134"/>
      <c r="F25" s="144" t="s">
        <v>251</v>
      </c>
      <c r="G25" s="145">
        <f>SUM(G27:G30)</f>
        <v>146234514</v>
      </c>
      <c r="H25" s="226">
        <v>154638930</v>
      </c>
      <c r="I25" s="146">
        <v>0.06</v>
      </c>
    </row>
    <row r="26" spans="1:11" s="133" customFormat="1" ht="12.75">
      <c r="A26" s="131" t="s">
        <v>565</v>
      </c>
      <c r="B26" s="152">
        <v>78594400</v>
      </c>
      <c r="C26" s="221">
        <f>+resgral!B23</f>
        <v>81648240</v>
      </c>
      <c r="D26" s="153"/>
      <c r="E26" s="135"/>
      <c r="F26" s="134"/>
      <c r="G26" s="135"/>
      <c r="H26" s="135"/>
      <c r="I26" s="148"/>
    </row>
    <row r="27" spans="1:11" s="133" customFormat="1" ht="12.75">
      <c r="A27" s="131" t="s">
        <v>566</v>
      </c>
      <c r="B27" s="152">
        <v>29681580</v>
      </c>
      <c r="C27" s="221">
        <f>+resgral!B24</f>
        <v>21026300</v>
      </c>
      <c r="D27" s="153"/>
      <c r="E27" s="134"/>
      <c r="F27" s="134" t="s">
        <v>567</v>
      </c>
      <c r="G27" s="135">
        <v>8137050</v>
      </c>
      <c r="H27" s="221">
        <f>+resgral!F22</f>
        <v>12214990</v>
      </c>
      <c r="I27" s="148"/>
    </row>
    <row r="28" spans="1:11" s="133" customFormat="1" ht="12.75">
      <c r="A28" s="131"/>
      <c r="D28" s="152"/>
      <c r="E28" s="135"/>
      <c r="F28" s="134" t="s">
        <v>568</v>
      </c>
      <c r="G28" s="135">
        <v>134838474</v>
      </c>
      <c r="H28" s="221">
        <f>+resgral!F23</f>
        <v>138762330</v>
      </c>
      <c r="I28" s="148"/>
      <c r="K28" s="154"/>
    </row>
    <row r="29" spans="1:11" s="133" customFormat="1" ht="12.75">
      <c r="A29" s="131"/>
      <c r="B29" s="152"/>
      <c r="C29" s="155"/>
      <c r="D29" s="153"/>
      <c r="E29" s="135"/>
      <c r="F29" s="134" t="s">
        <v>569</v>
      </c>
      <c r="G29" s="135">
        <v>1602000</v>
      </c>
      <c r="H29" s="221">
        <v>2276690</v>
      </c>
      <c r="I29" s="148"/>
    </row>
    <row r="30" spans="1:11" s="133" customFormat="1" ht="12.75">
      <c r="A30" s="141" t="s">
        <v>16</v>
      </c>
      <c r="B30" s="142">
        <f>+SUM(B31:B35)</f>
        <v>20376013</v>
      </c>
      <c r="C30" s="222">
        <f>+SUM(C31:C35)</f>
        <v>15317490</v>
      </c>
      <c r="D30" s="143">
        <f>+C30/B30-1</f>
        <v>-0.24825872460917653</v>
      </c>
      <c r="E30" s="135"/>
      <c r="F30" s="134" t="s">
        <v>570</v>
      </c>
      <c r="G30" s="135">
        <v>1656990</v>
      </c>
      <c r="H30" s="221">
        <f>+resgral!F25</f>
        <v>1384920</v>
      </c>
      <c r="I30" s="148"/>
    </row>
    <row r="31" spans="1:11" s="133" customFormat="1" ht="12.75">
      <c r="A31" s="131" t="s">
        <v>571</v>
      </c>
      <c r="B31" s="152">
        <v>481800</v>
      </c>
      <c r="C31" s="221">
        <f>+resgral!B26</f>
        <v>0</v>
      </c>
      <c r="D31" s="153"/>
      <c r="E31" s="135"/>
      <c r="F31" s="134"/>
      <c r="G31" s="135"/>
      <c r="H31" s="135"/>
      <c r="I31" s="148"/>
    </row>
    <row r="32" spans="1:11" s="133" customFormat="1" ht="12.75">
      <c r="A32" s="131" t="s">
        <v>572</v>
      </c>
      <c r="B32" s="152">
        <v>1069150</v>
      </c>
      <c r="C32" s="221">
        <f>+resgral!B27</f>
        <v>87950</v>
      </c>
      <c r="D32" s="153"/>
      <c r="E32" s="134"/>
      <c r="F32" s="144" t="s">
        <v>45</v>
      </c>
      <c r="G32" s="145">
        <f>+G34+G35</f>
        <v>37844640</v>
      </c>
      <c r="H32" s="226">
        <f>SUM(H34:H35)</f>
        <v>44552280</v>
      </c>
      <c r="I32" s="146">
        <f>+H32/G32-1</f>
        <v>0.17724147990309858</v>
      </c>
    </row>
    <row r="33" spans="1:12" s="133" customFormat="1" ht="12.75">
      <c r="A33" s="131" t="s">
        <v>573</v>
      </c>
      <c r="B33" s="152">
        <v>0</v>
      </c>
      <c r="C33" s="221">
        <f>+resgral!B28</f>
        <v>0</v>
      </c>
      <c r="D33" s="153"/>
      <c r="E33" s="135"/>
      <c r="F33" s="134"/>
      <c r="G33" s="135"/>
      <c r="H33" s="135"/>
      <c r="I33" s="148"/>
    </row>
    <row r="34" spans="1:12" s="133" customFormat="1" ht="12.75">
      <c r="A34" s="131" t="s">
        <v>574</v>
      </c>
      <c r="B34" s="152">
        <v>2099940</v>
      </c>
      <c r="C34" s="221">
        <f>+resgral!B29</f>
        <v>0</v>
      </c>
      <c r="D34" s="153"/>
      <c r="E34" s="134"/>
      <c r="F34" s="134" t="s">
        <v>696</v>
      </c>
      <c r="G34" s="244">
        <v>1817590</v>
      </c>
      <c r="H34" s="221">
        <f>+resgral!F27</f>
        <v>2230590</v>
      </c>
      <c r="I34" s="148"/>
    </row>
    <row r="35" spans="1:12" s="133" customFormat="1" ht="12.75">
      <c r="A35" s="131" t="s">
        <v>575</v>
      </c>
      <c r="B35" s="152">
        <v>16725123</v>
      </c>
      <c r="C35" s="221">
        <f>+resgral!B30</f>
        <v>15229540</v>
      </c>
      <c r="D35" s="153"/>
      <c r="E35" s="135"/>
      <c r="F35" s="134" t="s">
        <v>697</v>
      </c>
      <c r="G35" s="244">
        <v>36027050</v>
      </c>
      <c r="H35" s="221">
        <f>+resgral!F28</f>
        <v>42321690</v>
      </c>
      <c r="I35" s="135"/>
    </row>
    <row r="36" spans="1:12" s="133" customFormat="1" ht="13.5" thickBot="1">
      <c r="A36" s="131"/>
      <c r="B36" s="152"/>
      <c r="C36" s="152"/>
      <c r="D36" s="153"/>
      <c r="E36" s="134"/>
      <c r="F36" s="134"/>
      <c r="G36" s="134"/>
      <c r="H36" s="135"/>
      <c r="I36" s="148"/>
    </row>
    <row r="37" spans="1:12" s="133" customFormat="1" ht="13.5" thickBot="1">
      <c r="A37" s="149" t="s">
        <v>22</v>
      </c>
      <c r="B37" s="142">
        <f>+B16+B30</f>
        <v>531417072</v>
      </c>
      <c r="C37" s="222">
        <f>+C16+C30</f>
        <v>622782730</v>
      </c>
      <c r="D37" s="143">
        <f>+C37/B37-1</f>
        <v>0.17192834557637249</v>
      </c>
      <c r="E37" s="135"/>
      <c r="F37" s="144" t="s">
        <v>48</v>
      </c>
      <c r="G37" s="227">
        <f>G16+G25+G32</f>
        <v>631150570</v>
      </c>
      <c r="H37" s="227">
        <f>H16+H25+H32</f>
        <v>687488590</v>
      </c>
      <c r="I37" s="388" t="s">
        <v>871</v>
      </c>
    </row>
    <row r="38" spans="1:12" s="133" customFormat="1" ht="12.75">
      <c r="A38" s="149" t="s">
        <v>23</v>
      </c>
      <c r="B38" s="142">
        <f>SUM(B39:B43)</f>
        <v>99733498</v>
      </c>
      <c r="C38" s="222">
        <f>SUM(C39:C43)</f>
        <v>64705860</v>
      </c>
      <c r="D38" s="143">
        <f>+C38/B38-1</f>
        <v>-0.35121236798492717</v>
      </c>
      <c r="E38" s="135"/>
      <c r="F38" s="134"/>
      <c r="G38" s="135"/>
      <c r="H38" s="135"/>
      <c r="K38" s="154"/>
    </row>
    <row r="39" spans="1:12" s="133" customFormat="1" ht="12.75">
      <c r="A39" s="131" t="s">
        <v>576</v>
      </c>
      <c r="B39" s="152">
        <v>31201550</v>
      </c>
      <c r="C39" s="221">
        <f>+resgral!B33</f>
        <v>32851480</v>
      </c>
      <c r="D39" s="153"/>
      <c r="E39" s="135"/>
      <c r="F39" s="134"/>
      <c r="G39" s="135"/>
      <c r="H39" s="135"/>
    </row>
    <row r="40" spans="1:12" s="133" customFormat="1" ht="12.75">
      <c r="A40" s="131" t="s">
        <v>577</v>
      </c>
      <c r="B40" s="152">
        <v>0</v>
      </c>
      <c r="C40" s="221">
        <f>+resgral!B37</f>
        <v>0</v>
      </c>
      <c r="D40" s="153"/>
      <c r="E40" s="135"/>
      <c r="F40" s="134"/>
      <c r="G40" s="157">
        <v>2013</v>
      </c>
      <c r="H40" s="157">
        <v>2014</v>
      </c>
      <c r="L40" s="154"/>
    </row>
    <row r="41" spans="1:12" s="133" customFormat="1" ht="12.75">
      <c r="A41" s="131" t="s">
        <v>578</v>
      </c>
      <c r="B41" s="152">
        <v>0</v>
      </c>
      <c r="C41" s="221">
        <f>+resgral!B38</f>
        <v>0</v>
      </c>
      <c r="D41" s="153"/>
      <c r="E41" s="134"/>
      <c r="F41" s="158" t="s">
        <v>49</v>
      </c>
      <c r="G41" s="157" t="s">
        <v>4</v>
      </c>
      <c r="H41" s="157" t="s">
        <v>4</v>
      </c>
      <c r="I41" s="157"/>
      <c r="K41" s="152"/>
      <c r="L41" s="154"/>
    </row>
    <row r="42" spans="1:12" s="133" customFormat="1" ht="12.75">
      <c r="A42" s="131" t="s">
        <v>579</v>
      </c>
      <c r="B42" s="152">
        <v>67195388</v>
      </c>
      <c r="C42" s="221">
        <f>+resgral!B39</f>
        <v>29378010</v>
      </c>
      <c r="D42" s="153"/>
      <c r="E42" s="151"/>
      <c r="F42" s="134" t="s">
        <v>580</v>
      </c>
      <c r="G42" s="135">
        <f>+B44</f>
        <v>631150570</v>
      </c>
      <c r="H42" s="135">
        <f>+C44</f>
        <v>687488590</v>
      </c>
      <c r="I42" s="159"/>
      <c r="L42" s="154"/>
    </row>
    <row r="43" spans="1:12" s="133" customFormat="1" ht="13.5" thickBot="1">
      <c r="A43" s="131" t="s">
        <v>581</v>
      </c>
      <c r="B43" s="152">
        <v>1336560</v>
      </c>
      <c r="C43" s="221">
        <f>+resgral!B40</f>
        <v>2476370</v>
      </c>
      <c r="D43" s="153"/>
      <c r="F43" s="134" t="s">
        <v>582</v>
      </c>
      <c r="G43" s="135">
        <f>G37</f>
        <v>631150570</v>
      </c>
      <c r="H43" s="135">
        <f>H37</f>
        <v>687488590</v>
      </c>
      <c r="I43" s="159"/>
      <c r="L43" s="154"/>
    </row>
    <row r="44" spans="1:12" s="133" customFormat="1" ht="13.5" thickBot="1">
      <c r="A44" s="141" t="s">
        <v>583</v>
      </c>
      <c r="B44" s="227">
        <f>+B37+B38</f>
        <v>631150570</v>
      </c>
      <c r="C44" s="224">
        <f>+C37+C38</f>
        <v>687488590</v>
      </c>
      <c r="D44" s="228">
        <f>+C44/B44-1</f>
        <v>8.9262408493111289E-2</v>
      </c>
      <c r="F44" s="158" t="s">
        <v>584</v>
      </c>
      <c r="G44" s="227">
        <f>G42-G43</f>
        <v>0</v>
      </c>
      <c r="H44" s="227">
        <f>H42-H43</f>
        <v>0</v>
      </c>
      <c r="I44" s="151"/>
    </row>
    <row r="45" spans="1:12" s="133" customFormat="1" ht="12.75">
      <c r="A45" s="134"/>
      <c r="B45" s="135"/>
      <c r="C45" s="135"/>
      <c r="D45" s="134"/>
    </row>
    <row r="46" spans="1:12" s="133" customFormat="1" ht="12.75" customHeight="1">
      <c r="A46" s="411" t="s">
        <v>770</v>
      </c>
      <c r="B46" s="411"/>
      <c r="C46" s="411"/>
      <c r="D46" s="411"/>
      <c r="E46" s="411"/>
      <c r="F46" s="411"/>
      <c r="G46" s="411"/>
      <c r="H46" s="411"/>
      <c r="I46" s="411"/>
      <c r="J46" s="411"/>
    </row>
    <row r="47" spans="1:12" s="133" customFormat="1" ht="12.75" customHeight="1">
      <c r="A47" s="409" t="s">
        <v>585</v>
      </c>
      <c r="B47" s="409"/>
      <c r="C47" s="409"/>
      <c r="D47" s="409"/>
      <c r="E47" s="409"/>
      <c r="F47" s="409"/>
      <c r="G47" s="409"/>
      <c r="H47" s="409"/>
      <c r="I47" s="409"/>
      <c r="J47" s="409"/>
    </row>
    <row r="48" spans="1:12" s="133" customFormat="1" ht="12.75">
      <c r="A48" s="409" t="s">
        <v>775</v>
      </c>
      <c r="B48" s="409"/>
      <c r="C48" s="409"/>
      <c r="D48" s="409"/>
      <c r="E48" s="409"/>
      <c r="F48" s="409"/>
      <c r="G48" s="409"/>
      <c r="H48" s="409"/>
      <c r="I48" s="409"/>
      <c r="J48" s="409"/>
    </row>
    <row r="49" spans="1:10" s="133" customFormat="1" ht="12.75" customHeight="1">
      <c r="A49" s="409" t="s">
        <v>587</v>
      </c>
      <c r="B49" s="409"/>
      <c r="C49" s="409"/>
      <c r="D49" s="409"/>
      <c r="E49" s="409"/>
      <c r="F49" s="409"/>
      <c r="G49" s="409"/>
      <c r="H49" s="409"/>
      <c r="I49" s="409"/>
      <c r="J49" s="409"/>
    </row>
    <row r="50" spans="1:10" s="156" customFormat="1" ht="12.75">
      <c r="A50" s="410" t="s">
        <v>586</v>
      </c>
      <c r="B50" s="410"/>
      <c r="C50" s="410"/>
      <c r="D50" s="410"/>
      <c r="E50" s="410"/>
      <c r="F50" s="410"/>
      <c r="G50" s="410"/>
      <c r="H50" s="410"/>
      <c r="I50" s="410"/>
      <c r="J50" s="410"/>
    </row>
    <row r="51" spans="1:10" s="156" customFormat="1" ht="25.5">
      <c r="A51" s="365" t="s">
        <v>776</v>
      </c>
      <c r="B51" s="365"/>
      <c r="C51" s="365"/>
      <c r="D51" s="365"/>
      <c r="E51" s="365"/>
      <c r="F51" s="365"/>
      <c r="G51" s="365"/>
      <c r="H51" s="365"/>
      <c r="I51" s="365"/>
      <c r="J51" s="365"/>
    </row>
    <row r="52" spans="1:10">
      <c r="A52" s="409" t="s">
        <v>828</v>
      </c>
      <c r="B52" s="409"/>
      <c r="C52" s="409"/>
      <c r="D52" s="409"/>
      <c r="E52" s="409"/>
      <c r="F52" s="409"/>
      <c r="G52" s="409"/>
      <c r="H52" s="409"/>
      <c r="I52" s="409"/>
      <c r="J52" s="409"/>
    </row>
    <row r="53" spans="1:10">
      <c r="A53" s="409" t="s">
        <v>829</v>
      </c>
      <c r="B53" s="409"/>
      <c r="C53" s="409"/>
      <c r="D53" s="409"/>
      <c r="E53" s="409"/>
      <c r="F53" s="409"/>
      <c r="G53" s="409"/>
      <c r="H53" s="409"/>
      <c r="I53" s="409"/>
      <c r="J53" s="409"/>
    </row>
    <row r="54" spans="1:10">
      <c r="A54" s="409" t="s">
        <v>771</v>
      </c>
      <c r="B54" s="409"/>
      <c r="C54" s="409"/>
      <c r="D54" s="409"/>
      <c r="E54" s="409"/>
      <c r="F54" s="409"/>
      <c r="G54" s="409"/>
      <c r="H54" s="409"/>
      <c r="I54" s="409"/>
      <c r="J54" s="409"/>
    </row>
    <row r="55" spans="1:10">
      <c r="A55" s="409" t="s">
        <v>772</v>
      </c>
      <c r="B55" s="409"/>
      <c r="C55" s="409"/>
      <c r="D55" s="409"/>
      <c r="E55" s="409"/>
      <c r="F55" s="409"/>
      <c r="G55" s="409"/>
      <c r="H55" s="409"/>
      <c r="I55" s="409"/>
      <c r="J55" s="409"/>
    </row>
    <row r="56" spans="1:10">
      <c r="A56" s="410" t="s">
        <v>773</v>
      </c>
      <c r="B56" s="410"/>
      <c r="C56" s="410"/>
      <c r="D56" s="410"/>
      <c r="E56" s="410"/>
      <c r="F56" s="410"/>
      <c r="G56" s="410"/>
      <c r="H56" s="410"/>
      <c r="I56" s="410"/>
      <c r="J56" s="410"/>
    </row>
  </sheetData>
  <mergeCells count="14">
    <mergeCell ref="A49:J49"/>
    <mergeCell ref="A50:J50"/>
    <mergeCell ref="A46:J46"/>
    <mergeCell ref="A47:J47"/>
    <mergeCell ref="A8:I8"/>
    <mergeCell ref="A10:I10"/>
    <mergeCell ref="A11:I11"/>
    <mergeCell ref="A12:I12"/>
    <mergeCell ref="A48:J48"/>
    <mergeCell ref="A52:J52"/>
    <mergeCell ref="A53:J53"/>
    <mergeCell ref="A54:J54"/>
    <mergeCell ref="A55:J55"/>
    <mergeCell ref="A56:J56"/>
  </mergeCells>
  <printOptions horizontalCentered="1"/>
  <pageMargins left="0" right="0" top="0.57999999999999996" bottom="0.55118110236220474" header="0.31496062992125984" footer="0.31496062992125984"/>
  <pageSetup paperSize="9" scale="66" orientation="landscape" r:id="rId1"/>
  <drawing r:id="rId2"/>
</worksheet>
</file>

<file path=xl/worksheets/sheet28.xml><?xml version="1.0" encoding="utf-8"?>
<worksheet xmlns="http://schemas.openxmlformats.org/spreadsheetml/2006/main" xmlns:r="http://schemas.openxmlformats.org/officeDocument/2006/relationships">
  <sheetPr>
    <pageSetUpPr fitToPage="1"/>
  </sheetPr>
  <dimension ref="A1:H34"/>
  <sheetViews>
    <sheetView zoomScaleSheetLayoutView="50" workbookViewId="0">
      <selection activeCell="C28" sqref="C28"/>
    </sheetView>
  </sheetViews>
  <sheetFormatPr baseColWidth="10" defaultRowHeight="15"/>
  <cols>
    <col min="1" max="1" width="62" bestFit="1" customWidth="1"/>
    <col min="2" max="2" width="14.140625" bestFit="1" customWidth="1"/>
    <col min="3" max="3" width="15.42578125" bestFit="1" customWidth="1"/>
    <col min="4" max="4" width="15" bestFit="1" customWidth="1"/>
  </cols>
  <sheetData>
    <row r="1" spans="1:8" s="1" customFormat="1">
      <c r="A1" s="95"/>
      <c r="B1" s="95"/>
      <c r="C1"/>
    </row>
    <row r="2" spans="1:8" s="1" customFormat="1" ht="12.75">
      <c r="A2" s="95"/>
      <c r="B2" s="95"/>
    </row>
    <row r="3" spans="1:8" s="1" customFormat="1" ht="12.75">
      <c r="A3" s="95"/>
      <c r="B3" s="95"/>
    </row>
    <row r="4" spans="1:8" s="1" customFormat="1" ht="12.75">
      <c r="A4" s="95"/>
      <c r="B4" s="95"/>
    </row>
    <row r="5" spans="1:8" s="1" customFormat="1" ht="13.5" thickBot="1">
      <c r="A5" s="100"/>
      <c r="B5" s="100"/>
      <c r="C5" s="6"/>
      <c r="D5" s="6"/>
    </row>
    <row r="6" spans="1:8" ht="10.5" customHeight="1" thickTop="1">
      <c r="A6" s="80"/>
      <c r="B6" s="80"/>
    </row>
    <row r="7" spans="1:8" s="20" customFormat="1" ht="12.75">
      <c r="A7" s="104" t="s">
        <v>867</v>
      </c>
      <c r="B7" s="52"/>
    </row>
    <row r="8" spans="1:8" ht="15.75">
      <c r="A8" s="415" t="s">
        <v>747</v>
      </c>
      <c r="B8" s="415"/>
      <c r="C8" s="415"/>
      <c r="D8" s="415"/>
    </row>
    <row r="10" spans="1:8" s="131" customFormat="1" ht="15.75">
      <c r="A10" s="415" t="s">
        <v>588</v>
      </c>
      <c r="B10" s="415"/>
      <c r="C10" s="415"/>
      <c r="D10" s="415"/>
      <c r="E10" s="132"/>
      <c r="F10" s="132"/>
      <c r="G10" s="132"/>
    </row>
    <row r="11" spans="1:8" s="131" customFormat="1" ht="12.75"/>
    <row r="12" spans="1:8" s="131" customFormat="1" ht="12.75">
      <c r="A12" s="416" t="s">
        <v>589</v>
      </c>
      <c r="B12" s="229" t="s">
        <v>590</v>
      </c>
      <c r="C12" s="229" t="s">
        <v>591</v>
      </c>
      <c r="D12" s="229" t="s">
        <v>592</v>
      </c>
    </row>
    <row r="13" spans="1:8" s="131" customFormat="1" ht="12.75">
      <c r="A13" s="416"/>
      <c r="B13" s="229" t="s">
        <v>679</v>
      </c>
      <c r="C13" s="229" t="s">
        <v>593</v>
      </c>
      <c r="D13" s="229" t="s">
        <v>594</v>
      </c>
    </row>
    <row r="14" spans="1:8" s="131" customFormat="1" ht="12.75">
      <c r="A14" s="416"/>
      <c r="B14" s="230"/>
      <c r="C14" s="229">
        <v>2015</v>
      </c>
      <c r="D14" s="229" t="s">
        <v>595</v>
      </c>
    </row>
    <row r="15" spans="1:8" s="131" customFormat="1" ht="12.75">
      <c r="B15" s="160"/>
    </row>
    <row r="16" spans="1:8" s="131" customFormat="1" ht="12.75">
      <c r="A16" s="131" t="s">
        <v>596</v>
      </c>
      <c r="B16" s="152">
        <f>+comparación!G16</f>
        <v>447071416</v>
      </c>
      <c r="C16" s="152">
        <f>+resgral!F15</f>
        <v>480430010</v>
      </c>
      <c r="D16" s="161"/>
      <c r="E16" s="162"/>
      <c r="F16" s="162"/>
      <c r="G16" s="162"/>
      <c r="H16" s="162"/>
    </row>
    <row r="17" spans="1:8" s="131" customFormat="1" ht="13.5" thickBot="1">
      <c r="A17" s="131" t="s">
        <v>597</v>
      </c>
      <c r="B17" s="163">
        <f>-comparación!G22</f>
        <v>-847560</v>
      </c>
      <c r="C17" s="163">
        <f>-comparación!H22</f>
        <v>-833650</v>
      </c>
      <c r="D17" s="161"/>
      <c r="E17" s="162"/>
      <c r="F17" s="162"/>
      <c r="G17" s="162"/>
      <c r="H17" s="162"/>
    </row>
    <row r="18" spans="1:8" s="131" customFormat="1" ht="13.5" thickTop="1">
      <c r="B18" s="152">
        <f>SUM(B16:B17)</f>
        <v>446223856</v>
      </c>
      <c r="C18" s="152">
        <f>SUM(C16:C17)</f>
        <v>479596360</v>
      </c>
      <c r="D18" s="164"/>
      <c r="E18" s="162"/>
      <c r="F18" s="162"/>
      <c r="G18" s="162"/>
      <c r="H18" s="162"/>
    </row>
    <row r="19" spans="1:8" s="131" customFormat="1" ht="12.75">
      <c r="A19" s="131" t="s">
        <v>598</v>
      </c>
      <c r="B19" s="152">
        <f>+comparación!G25</f>
        <v>146234514</v>
      </c>
      <c r="C19" s="152">
        <v>154638930</v>
      </c>
      <c r="D19" s="164"/>
      <c r="E19" s="162"/>
      <c r="F19" s="162"/>
      <c r="G19" s="162"/>
      <c r="H19" s="162"/>
    </row>
    <row r="20" spans="1:8" s="131" customFormat="1" ht="12.75">
      <c r="B20" s="162"/>
      <c r="C20" s="162"/>
      <c r="D20" s="165"/>
      <c r="E20" s="162"/>
      <c r="F20" s="162"/>
      <c r="G20" s="162"/>
      <c r="H20" s="162"/>
    </row>
    <row r="21" spans="1:8" s="131" customFormat="1" ht="12.75">
      <c r="A21" s="231" t="s">
        <v>599</v>
      </c>
      <c r="B21" s="222">
        <f>+B18+B19</f>
        <v>592458370</v>
      </c>
      <c r="C21" s="222">
        <v>634235290</v>
      </c>
      <c r="D21" s="164"/>
      <c r="E21" s="162"/>
      <c r="F21" s="162"/>
      <c r="G21" s="162"/>
      <c r="H21" s="162"/>
    </row>
    <row r="22" spans="1:8" s="131" customFormat="1" ht="12.75">
      <c r="B22" s="162"/>
      <c r="C22" s="162"/>
      <c r="D22" s="165"/>
      <c r="E22" s="162"/>
      <c r="F22" s="162"/>
      <c r="G22" s="162"/>
      <c r="H22" s="162"/>
    </row>
    <row r="23" spans="1:8" s="131" customFormat="1" ht="12.75">
      <c r="A23" s="131" t="s">
        <v>676</v>
      </c>
      <c r="B23" s="162"/>
      <c r="C23" s="162"/>
      <c r="D23" s="165"/>
      <c r="E23" s="162"/>
      <c r="F23" s="162"/>
      <c r="G23" s="162"/>
      <c r="H23" s="162"/>
    </row>
    <row r="24" spans="1:8" s="131" customFormat="1" ht="12.75">
      <c r="A24" s="131" t="s">
        <v>678</v>
      </c>
      <c r="B24" s="162"/>
      <c r="C24" s="162"/>
      <c r="D24" s="165"/>
      <c r="E24" s="162"/>
      <c r="F24" s="162"/>
      <c r="G24" s="162"/>
      <c r="H24" s="162"/>
    </row>
    <row r="25" spans="1:8" s="131" customFormat="1">
      <c r="A25" s="149" t="s">
        <v>755</v>
      </c>
      <c r="B25" s="152">
        <f>-comparación!G28</f>
        <v>-134838474</v>
      </c>
      <c r="C25" s="152">
        <f>-comparación!H28</f>
        <v>-138762330</v>
      </c>
      <c r="D25" s="165"/>
      <c r="E25" s="162"/>
      <c r="F25" s="162"/>
      <c r="G25"/>
      <c r="H25" s="162"/>
    </row>
    <row r="26" spans="1:8" s="131" customFormat="1" ht="12.75">
      <c r="A26" s="133" t="s">
        <v>756</v>
      </c>
      <c r="B26" s="152"/>
      <c r="C26" s="152"/>
      <c r="D26" s="165"/>
      <c r="E26" s="162"/>
      <c r="F26" s="162"/>
      <c r="G26" s="162"/>
      <c r="H26" s="162"/>
    </row>
    <row r="27" spans="1:8" s="131" customFormat="1" ht="12.75">
      <c r="A27" s="149" t="s">
        <v>600</v>
      </c>
      <c r="B27" s="152">
        <f>-comparación!G29</f>
        <v>-1602000</v>
      </c>
      <c r="C27" s="152">
        <v>-2276690</v>
      </c>
      <c r="D27" s="165"/>
      <c r="E27" s="162"/>
      <c r="F27" s="162"/>
      <c r="G27" s="162"/>
      <c r="H27" s="162"/>
    </row>
    <row r="28" spans="1:8" s="131" customFormat="1" ht="12.75">
      <c r="A28" s="131" t="s">
        <v>601</v>
      </c>
      <c r="B28" s="152"/>
      <c r="C28" s="152"/>
      <c r="D28" s="165"/>
      <c r="E28" s="162"/>
      <c r="F28" s="162"/>
      <c r="G28" s="162"/>
      <c r="H28" s="162"/>
    </row>
    <row r="29" spans="1:8" s="131" customFormat="1" ht="12.75">
      <c r="A29" s="131" t="s">
        <v>602</v>
      </c>
      <c r="B29" s="152"/>
      <c r="C29" s="152"/>
      <c r="D29" s="165"/>
      <c r="E29" s="162"/>
      <c r="F29" s="162"/>
      <c r="G29" s="162"/>
      <c r="H29" s="162"/>
    </row>
    <row r="30" spans="1:8" s="131" customFormat="1" ht="12.75">
      <c r="A30" s="131" t="s">
        <v>603</v>
      </c>
      <c r="B30" s="152"/>
      <c r="C30" s="152"/>
      <c r="D30" s="165"/>
      <c r="E30" s="162"/>
      <c r="F30" s="162"/>
      <c r="G30" s="162"/>
      <c r="H30" s="162"/>
    </row>
    <row r="31" spans="1:8" s="131" customFormat="1" ht="12.75">
      <c r="A31" s="131" t="s">
        <v>604</v>
      </c>
      <c r="B31" s="152"/>
      <c r="C31" s="152"/>
      <c r="D31" s="165"/>
      <c r="E31" s="162"/>
      <c r="F31" s="162"/>
      <c r="G31" s="162"/>
      <c r="H31" s="162"/>
    </row>
    <row r="32" spans="1:8" s="131" customFormat="1" ht="13.5" thickBot="1">
      <c r="B32" s="162"/>
      <c r="C32" s="152"/>
      <c r="D32" s="165"/>
      <c r="E32" s="162"/>
      <c r="F32" s="162"/>
      <c r="G32" s="162"/>
      <c r="H32" s="162"/>
    </row>
    <row r="33" spans="1:8" s="131" customFormat="1" ht="13.5" thickBot="1">
      <c r="A33" s="232" t="s">
        <v>605</v>
      </c>
      <c r="B33" s="222">
        <f>SUM(B21:B32)</f>
        <v>456017896</v>
      </c>
      <c r="C33" s="222">
        <f>SUM(C21:C32)</f>
        <v>493196270</v>
      </c>
      <c r="D33" s="233">
        <f>+C33/B33-1</f>
        <v>8.1528322300754574E-2</v>
      </c>
      <c r="E33" s="162"/>
      <c r="F33" s="162"/>
      <c r="G33" s="162"/>
      <c r="H33" s="162"/>
    </row>
    <row r="34" spans="1:8" s="131" customFormat="1" ht="13.5" thickBot="1">
      <c r="A34" s="166" t="s">
        <v>757</v>
      </c>
      <c r="B34" s="167"/>
      <c r="C34" s="167"/>
      <c r="D34" s="168">
        <v>0.19700000000000001</v>
      </c>
      <c r="E34" s="162"/>
      <c r="F34" s="162"/>
      <c r="G34" s="162"/>
      <c r="H34" s="162"/>
    </row>
  </sheetData>
  <mergeCells count="3">
    <mergeCell ref="A10:D10"/>
    <mergeCell ref="A12:A14"/>
    <mergeCell ref="A8:D8"/>
  </mergeCells>
  <printOptions horizontalCentered="1"/>
  <pageMargins left="0.70866141732283472" right="0.70866141732283472" top="0.74803149606299213" bottom="0.74803149606299213" header="0.31496062992125984" footer="0.31496062992125984"/>
  <pageSetup paperSize="9" scale="82" orientation="portrait" r:id="rId1"/>
  <drawing r:id="rId2"/>
</worksheet>
</file>

<file path=xl/worksheets/sheet29.xml><?xml version="1.0" encoding="utf-8"?>
<worksheet xmlns="http://schemas.openxmlformats.org/spreadsheetml/2006/main" xmlns:r="http://schemas.openxmlformats.org/officeDocument/2006/relationships">
  <dimension ref="A4:K112"/>
  <sheetViews>
    <sheetView zoomScale="75" zoomScaleNormal="75" workbookViewId="0">
      <selection activeCell="I76" sqref="I76"/>
    </sheetView>
  </sheetViews>
  <sheetFormatPr baseColWidth="10" defaultColWidth="54.85546875" defaultRowHeight="15"/>
  <cols>
    <col min="1" max="1" width="10" customWidth="1"/>
    <col min="2" max="2" width="11" customWidth="1"/>
    <col min="3" max="3" width="84.42578125" bestFit="1" customWidth="1"/>
    <col min="4" max="4" width="23.42578125" bestFit="1" customWidth="1"/>
    <col min="5" max="5" width="20.5703125" customWidth="1"/>
    <col min="6" max="6" width="17.7109375" bestFit="1" customWidth="1"/>
    <col min="7" max="255" width="11.42578125" customWidth="1"/>
  </cols>
  <sheetData>
    <row r="4" spans="1:6" ht="15.75" thickBot="1">
      <c r="A4" s="177"/>
      <c r="B4" s="177"/>
      <c r="C4" s="177"/>
      <c r="D4" s="177"/>
      <c r="E4" s="177"/>
      <c r="F4" s="177"/>
    </row>
    <row r="5" spans="1:6" ht="15.75" thickTop="1">
      <c r="C5" s="178"/>
      <c r="D5" s="178"/>
      <c r="E5" s="178"/>
    </row>
    <row r="6" spans="1:6" s="179" customFormat="1">
      <c r="A6" s="272" t="str">
        <f>+'anexo A'!A8</f>
        <v>Ordenanza Nº 6355/14</v>
      </c>
      <c r="B6" s="180"/>
      <c r="C6" s="180"/>
      <c r="D6" s="180"/>
      <c r="E6" s="180"/>
    </row>
    <row r="8" spans="1:6" s="267" customFormat="1" ht="18.75">
      <c r="A8" s="273" t="s">
        <v>751</v>
      </c>
      <c r="B8" s="274"/>
      <c r="C8" s="274"/>
      <c r="D8" s="274"/>
      <c r="E8" s="274"/>
      <c r="F8" s="275"/>
    </row>
    <row r="9" spans="1:6" s="267" customFormat="1" ht="12.75">
      <c r="A9" s="420" t="s">
        <v>750</v>
      </c>
      <c r="B9" s="421"/>
      <c r="C9" s="421"/>
      <c r="D9" s="421"/>
      <c r="E9" s="421"/>
      <c r="F9" s="422"/>
    </row>
    <row r="10" spans="1:6" s="267" customFormat="1" ht="12.75" customHeight="1">
      <c r="A10" s="420"/>
      <c r="B10" s="421"/>
      <c r="C10" s="421"/>
      <c r="D10" s="421"/>
      <c r="E10" s="421"/>
      <c r="F10" s="422"/>
    </row>
    <row r="11" spans="1:6" s="267" customFormat="1" ht="23.25" customHeight="1">
      <c r="A11" s="428" t="s">
        <v>701</v>
      </c>
      <c r="B11" s="429"/>
      <c r="C11" s="430" t="s">
        <v>702</v>
      </c>
      <c r="D11" s="353" t="s">
        <v>703</v>
      </c>
      <c r="E11" s="353" t="s">
        <v>704</v>
      </c>
      <c r="F11" s="354" t="s">
        <v>239</v>
      </c>
    </row>
    <row r="12" spans="1:6" s="267" customFormat="1" ht="25.5" customHeight="1">
      <c r="A12" s="429"/>
      <c r="B12" s="429"/>
      <c r="C12" s="430"/>
      <c r="D12" s="355" t="s">
        <v>705</v>
      </c>
      <c r="E12" s="355" t="s">
        <v>706</v>
      </c>
      <c r="F12" s="356"/>
    </row>
    <row r="13" spans="1:6" s="267" customFormat="1">
      <c r="A13" s="431">
        <v>422</v>
      </c>
      <c r="B13" s="431" t="s">
        <v>707</v>
      </c>
      <c r="C13" s="278" t="s">
        <v>817</v>
      </c>
      <c r="D13" s="279"/>
      <c r="E13" s="280"/>
      <c r="F13" s="280"/>
    </row>
    <row r="14" spans="1:6" s="267" customFormat="1" ht="16.5" customHeight="1">
      <c r="A14" s="432"/>
      <c r="B14" s="432"/>
      <c r="C14" s="281" t="s">
        <v>782</v>
      </c>
      <c r="D14" s="283"/>
      <c r="E14" s="282">
        <v>6500000</v>
      </c>
      <c r="F14" s="283">
        <f>SUM(D14:E14)</f>
        <v>6500000</v>
      </c>
    </row>
    <row r="15" spans="1:6" s="267" customFormat="1">
      <c r="A15" s="432"/>
      <c r="B15" s="432"/>
      <c r="C15" s="281" t="s">
        <v>783</v>
      </c>
      <c r="D15" s="283"/>
      <c r="E15" s="282">
        <v>1000000</v>
      </c>
      <c r="F15" s="283">
        <f t="shared" ref="F15:F61" si="0">SUM(D15:E15)</f>
        <v>1000000</v>
      </c>
    </row>
    <row r="16" spans="1:6" s="267" customFormat="1">
      <c r="A16" s="432"/>
      <c r="B16" s="432"/>
      <c r="C16" s="281" t="s">
        <v>784</v>
      </c>
      <c r="D16" s="283"/>
      <c r="E16" s="282">
        <v>1000000</v>
      </c>
      <c r="F16" s="283">
        <f t="shared" si="0"/>
        <v>1000000</v>
      </c>
    </row>
    <row r="17" spans="1:6" s="267" customFormat="1">
      <c r="A17" s="432"/>
      <c r="B17" s="432"/>
      <c r="C17" s="281" t="s">
        <v>785</v>
      </c>
      <c r="D17" s="283"/>
      <c r="E17" s="282">
        <v>1500000</v>
      </c>
      <c r="F17" s="283">
        <f t="shared" si="0"/>
        <v>1500000</v>
      </c>
    </row>
    <row r="18" spans="1:6" s="267" customFormat="1">
      <c r="A18" s="432"/>
      <c r="B18" s="432"/>
      <c r="C18" s="281" t="s">
        <v>786</v>
      </c>
      <c r="D18" s="283"/>
      <c r="E18" s="282">
        <v>1500000</v>
      </c>
      <c r="F18" s="283">
        <f t="shared" si="0"/>
        <v>1500000</v>
      </c>
    </row>
    <row r="19" spans="1:6" s="267" customFormat="1">
      <c r="A19" s="432"/>
      <c r="B19" s="432"/>
      <c r="C19" s="312" t="s">
        <v>814</v>
      </c>
      <c r="D19" s="313">
        <v>1000000</v>
      </c>
      <c r="E19" s="313"/>
      <c r="F19" s="314">
        <f t="shared" si="0"/>
        <v>1000000</v>
      </c>
    </row>
    <row r="20" spans="1:6" s="267" customFormat="1">
      <c r="A20" s="432"/>
      <c r="B20" s="434"/>
      <c r="C20" s="349" t="s">
        <v>629</v>
      </c>
      <c r="D20" s="283">
        <f>SUM(D14:D19)</f>
        <v>1000000</v>
      </c>
      <c r="E20" s="283">
        <f>SUM(E14:E19)</f>
        <v>11500000</v>
      </c>
      <c r="F20" s="283">
        <f t="shared" si="0"/>
        <v>12500000</v>
      </c>
    </row>
    <row r="21" spans="1:6" s="267" customFormat="1">
      <c r="A21" s="432"/>
      <c r="B21" s="432"/>
      <c r="C21" s="315" t="s">
        <v>708</v>
      </c>
      <c r="D21" s="316"/>
      <c r="E21" s="316"/>
      <c r="F21" s="316"/>
    </row>
    <row r="22" spans="1:6" s="267" customFormat="1">
      <c r="A22" s="432"/>
      <c r="B22" s="432"/>
      <c r="C22" s="281" t="s">
        <v>727</v>
      </c>
      <c r="D22" s="283"/>
      <c r="E22" s="282">
        <v>2000000</v>
      </c>
      <c r="F22" s="283">
        <f>SUM(D22:E22)</f>
        <v>2000000</v>
      </c>
    </row>
    <row r="23" spans="1:6" s="267" customFormat="1">
      <c r="A23" s="432"/>
      <c r="B23" s="432"/>
      <c r="C23" s="281" t="s">
        <v>790</v>
      </c>
      <c r="D23" s="283"/>
      <c r="E23" s="282">
        <v>3500000</v>
      </c>
      <c r="F23" s="283">
        <f t="shared" ref="F23:F39" si="1">SUM(D23:E23)</f>
        <v>3500000</v>
      </c>
    </row>
    <row r="24" spans="1:6" s="267" customFormat="1">
      <c r="A24" s="432"/>
      <c r="B24" s="432"/>
      <c r="C24" s="281" t="s">
        <v>811</v>
      </c>
      <c r="D24" s="283"/>
      <c r="E24" s="282">
        <v>2000000</v>
      </c>
      <c r="F24" s="283">
        <f t="shared" si="1"/>
        <v>2000000</v>
      </c>
    </row>
    <row r="25" spans="1:6" s="267" customFormat="1">
      <c r="A25" s="432"/>
      <c r="B25" s="432"/>
      <c r="C25" s="281" t="s">
        <v>791</v>
      </c>
      <c r="D25" s="283"/>
      <c r="E25" s="282">
        <v>1800000</v>
      </c>
      <c r="F25" s="283">
        <f t="shared" si="1"/>
        <v>1800000</v>
      </c>
    </row>
    <row r="26" spans="1:6" s="267" customFormat="1">
      <c r="A26" s="432"/>
      <c r="B26" s="432"/>
      <c r="C26" s="281" t="s">
        <v>723</v>
      </c>
      <c r="D26" s="283"/>
      <c r="E26" s="282">
        <v>1500000</v>
      </c>
      <c r="F26" s="283">
        <f t="shared" ref="F26:F38" si="2">SUM(D26:E26)</f>
        <v>1500000</v>
      </c>
    </row>
    <row r="27" spans="1:6" s="267" customFormat="1">
      <c r="A27" s="432"/>
      <c r="B27" s="432"/>
      <c r="C27" s="281" t="s">
        <v>724</v>
      </c>
      <c r="D27" s="283"/>
      <c r="E27" s="282">
        <v>2500000</v>
      </c>
      <c r="F27" s="283">
        <f t="shared" si="2"/>
        <v>2500000</v>
      </c>
    </row>
    <row r="28" spans="1:6" s="267" customFormat="1">
      <c r="A28" s="432"/>
      <c r="B28" s="432"/>
      <c r="C28" s="281" t="s">
        <v>725</v>
      </c>
      <c r="D28" s="283"/>
      <c r="E28" s="282">
        <v>1500000</v>
      </c>
      <c r="F28" s="283">
        <f t="shared" si="2"/>
        <v>1500000</v>
      </c>
    </row>
    <row r="29" spans="1:6" s="267" customFormat="1">
      <c r="A29" s="432"/>
      <c r="B29" s="432"/>
      <c r="C29" s="281" t="s">
        <v>726</v>
      </c>
      <c r="D29" s="283"/>
      <c r="E29" s="282">
        <v>1500000</v>
      </c>
      <c r="F29" s="283">
        <f t="shared" si="2"/>
        <v>1500000</v>
      </c>
    </row>
    <row r="30" spans="1:6" s="267" customFormat="1">
      <c r="A30" s="432"/>
      <c r="B30" s="432"/>
      <c r="C30" s="281" t="s">
        <v>789</v>
      </c>
      <c r="D30" s="283"/>
      <c r="E30" s="282">
        <v>2200000</v>
      </c>
      <c r="F30" s="283">
        <f t="shared" si="2"/>
        <v>2200000</v>
      </c>
    </row>
    <row r="31" spans="1:6" s="267" customFormat="1">
      <c r="A31" s="432"/>
      <c r="B31" s="432"/>
      <c r="C31" s="281" t="s">
        <v>806</v>
      </c>
      <c r="D31" s="283"/>
      <c r="E31" s="282">
        <v>2600000</v>
      </c>
      <c r="F31" s="283">
        <f t="shared" si="2"/>
        <v>2600000</v>
      </c>
    </row>
    <row r="32" spans="1:6" s="267" customFormat="1">
      <c r="A32" s="432"/>
      <c r="B32" s="432"/>
      <c r="C32" s="281" t="s">
        <v>792</v>
      </c>
      <c r="D32" s="283"/>
      <c r="E32" s="282">
        <v>400000</v>
      </c>
      <c r="F32" s="283">
        <f t="shared" si="2"/>
        <v>400000</v>
      </c>
    </row>
    <row r="33" spans="1:6" s="267" customFormat="1">
      <c r="A33" s="432"/>
      <c r="B33" s="432"/>
      <c r="C33" s="281" t="s">
        <v>859</v>
      </c>
      <c r="D33" s="283"/>
      <c r="E33" s="282">
        <v>1000000</v>
      </c>
      <c r="F33" s="283">
        <f t="shared" si="2"/>
        <v>1000000</v>
      </c>
    </row>
    <row r="34" spans="1:6" s="267" customFormat="1">
      <c r="A34" s="432"/>
      <c r="B34" s="432"/>
      <c r="C34" s="281" t="s">
        <v>861</v>
      </c>
      <c r="D34" s="283"/>
      <c r="E34" s="282">
        <v>1000000</v>
      </c>
      <c r="F34" s="283">
        <f t="shared" si="2"/>
        <v>1000000</v>
      </c>
    </row>
    <row r="35" spans="1:6" s="267" customFormat="1">
      <c r="A35" s="432"/>
      <c r="B35" s="432"/>
      <c r="C35" s="281" t="s">
        <v>827</v>
      </c>
      <c r="D35" s="283"/>
      <c r="E35" s="282">
        <v>4000000</v>
      </c>
      <c r="F35" s="283">
        <f t="shared" si="2"/>
        <v>4000000</v>
      </c>
    </row>
    <row r="36" spans="1:6" s="267" customFormat="1">
      <c r="A36" s="432"/>
      <c r="B36" s="432"/>
      <c r="C36" s="281" t="s">
        <v>793</v>
      </c>
      <c r="D36" s="283"/>
      <c r="E36" s="282">
        <v>2500000</v>
      </c>
      <c r="F36" s="283">
        <f t="shared" si="2"/>
        <v>2500000</v>
      </c>
    </row>
    <row r="37" spans="1:6" s="267" customFormat="1">
      <c r="A37" s="432"/>
      <c r="B37" s="432"/>
      <c r="C37" s="281" t="s">
        <v>794</v>
      </c>
      <c r="D37" s="283"/>
      <c r="E37" s="282">
        <v>2000000</v>
      </c>
      <c r="F37" s="283">
        <f t="shared" si="2"/>
        <v>2000000</v>
      </c>
    </row>
    <row r="38" spans="1:6" s="267" customFormat="1">
      <c r="A38" s="432"/>
      <c r="B38" s="432"/>
      <c r="C38" s="281" t="s">
        <v>795</v>
      </c>
      <c r="D38" s="283"/>
      <c r="E38" s="282">
        <v>2000000</v>
      </c>
      <c r="F38" s="283">
        <f t="shared" si="2"/>
        <v>2000000</v>
      </c>
    </row>
    <row r="39" spans="1:6" s="267" customFormat="1">
      <c r="A39" s="432"/>
      <c r="B39" s="432"/>
      <c r="C39" s="281" t="s">
        <v>805</v>
      </c>
      <c r="D39" s="283"/>
      <c r="E39" s="282">
        <v>2000000</v>
      </c>
      <c r="F39" s="283">
        <f t="shared" si="1"/>
        <v>2000000</v>
      </c>
    </row>
    <row r="40" spans="1:6" s="267" customFormat="1">
      <c r="A40" s="432"/>
      <c r="B40" s="432"/>
      <c r="C40" s="281"/>
      <c r="D40" s="283"/>
      <c r="E40" s="282"/>
      <c r="F40" s="283">
        <f t="shared" si="0"/>
        <v>0</v>
      </c>
    </row>
    <row r="41" spans="1:6" s="267" customFormat="1">
      <c r="A41" s="432"/>
      <c r="B41" s="432"/>
      <c r="C41" s="349" t="s">
        <v>709</v>
      </c>
      <c r="D41" s="283">
        <f>SUM(D22:D40)</f>
        <v>0</v>
      </c>
      <c r="E41" s="283">
        <f>SUM(E22:E40)</f>
        <v>36000000</v>
      </c>
      <c r="F41" s="283">
        <f t="shared" si="0"/>
        <v>36000000</v>
      </c>
    </row>
    <row r="42" spans="1:6" s="268" customFormat="1">
      <c r="A42" s="432"/>
      <c r="B42" s="432"/>
      <c r="C42" s="278" t="s">
        <v>860</v>
      </c>
      <c r="D42" s="285"/>
      <c r="E42" s="282"/>
      <c r="F42" s="284"/>
    </row>
    <row r="43" spans="1:6" s="268" customFormat="1">
      <c r="A43" s="432"/>
      <c r="B43" s="432"/>
      <c r="C43" s="279"/>
      <c r="D43" s="285"/>
      <c r="E43" s="282"/>
      <c r="F43" s="284"/>
    </row>
    <row r="44" spans="1:6" s="268" customFormat="1">
      <c r="A44" s="432"/>
      <c r="B44" s="432"/>
      <c r="C44" s="281" t="s">
        <v>721</v>
      </c>
      <c r="D44" s="283"/>
      <c r="E44" s="282">
        <v>1900000</v>
      </c>
      <c r="F44" s="283">
        <f t="shared" ref="F44:F60" si="3">SUM(D44:E44)</f>
        <v>1900000</v>
      </c>
    </row>
    <row r="45" spans="1:6" s="268" customFormat="1">
      <c r="A45" s="432"/>
      <c r="B45" s="432"/>
      <c r="C45" s="281" t="s">
        <v>728</v>
      </c>
      <c r="D45" s="283"/>
      <c r="E45" s="282">
        <v>500000</v>
      </c>
      <c r="F45" s="283">
        <f t="shared" si="3"/>
        <v>500000</v>
      </c>
    </row>
    <row r="46" spans="1:6" s="268" customFormat="1">
      <c r="A46" s="432"/>
      <c r="B46" s="432"/>
      <c r="C46" s="281" t="s">
        <v>787</v>
      </c>
      <c r="D46" s="283"/>
      <c r="E46" s="282">
        <v>150000</v>
      </c>
      <c r="F46" s="283">
        <f t="shared" si="3"/>
        <v>150000</v>
      </c>
    </row>
    <row r="47" spans="1:6" s="268" customFormat="1">
      <c r="A47" s="432"/>
      <c r="B47" s="432"/>
      <c r="C47" s="281" t="s">
        <v>796</v>
      </c>
      <c r="D47" s="267"/>
      <c r="E47" s="282">
        <v>2000000</v>
      </c>
      <c r="F47" s="283">
        <f t="shared" si="3"/>
        <v>2000000</v>
      </c>
    </row>
    <row r="48" spans="1:6" s="268" customFormat="1">
      <c r="A48" s="432"/>
      <c r="B48" s="432"/>
      <c r="C48" s="281" t="s">
        <v>797</v>
      </c>
      <c r="D48" s="283"/>
      <c r="E48" s="282">
        <v>300000</v>
      </c>
      <c r="F48" s="283">
        <f t="shared" si="3"/>
        <v>300000</v>
      </c>
    </row>
    <row r="49" spans="1:6" s="268" customFormat="1">
      <c r="A49" s="432"/>
      <c r="B49" s="432"/>
      <c r="C49" s="281" t="s">
        <v>807</v>
      </c>
      <c r="D49" s="283"/>
      <c r="E49" s="282">
        <v>1500000</v>
      </c>
      <c r="F49" s="283">
        <f t="shared" si="3"/>
        <v>1500000</v>
      </c>
    </row>
    <row r="50" spans="1:6" s="268" customFormat="1">
      <c r="A50" s="432"/>
      <c r="B50" s="432"/>
      <c r="C50" s="281" t="s">
        <v>808</v>
      </c>
      <c r="D50" s="283"/>
      <c r="E50" s="282">
        <v>750000</v>
      </c>
      <c r="F50" s="283">
        <f t="shared" si="3"/>
        <v>750000</v>
      </c>
    </row>
    <row r="51" spans="1:6" s="268" customFormat="1">
      <c r="A51" s="432"/>
      <c r="B51" s="432"/>
      <c r="C51" s="281" t="s">
        <v>788</v>
      </c>
      <c r="D51" s="283"/>
      <c r="E51" s="282">
        <v>1760000</v>
      </c>
      <c r="F51" s="283">
        <f t="shared" si="3"/>
        <v>1760000</v>
      </c>
    </row>
    <row r="52" spans="1:6" s="268" customFormat="1">
      <c r="A52" s="432"/>
      <c r="B52" s="432"/>
      <c r="C52" s="281" t="s">
        <v>722</v>
      </c>
      <c r="D52" s="283"/>
      <c r="E52" s="282">
        <v>937000</v>
      </c>
      <c r="F52" s="283">
        <f t="shared" si="3"/>
        <v>937000</v>
      </c>
    </row>
    <row r="53" spans="1:6" s="268" customFormat="1">
      <c r="A53" s="432"/>
      <c r="B53" s="432"/>
      <c r="C53" s="281" t="s">
        <v>798</v>
      </c>
      <c r="D53" s="283"/>
      <c r="E53" s="282">
        <v>2520000</v>
      </c>
      <c r="F53" s="283">
        <f t="shared" si="3"/>
        <v>2520000</v>
      </c>
    </row>
    <row r="54" spans="1:6" s="268" customFormat="1">
      <c r="A54" s="432"/>
      <c r="B54" s="432"/>
      <c r="C54" s="281" t="s">
        <v>799</v>
      </c>
      <c r="D54" s="283"/>
      <c r="E54" s="282">
        <v>877000</v>
      </c>
      <c r="F54" s="283">
        <f t="shared" si="3"/>
        <v>877000</v>
      </c>
    </row>
    <row r="55" spans="1:6" s="268" customFormat="1">
      <c r="A55" s="432"/>
      <c r="B55" s="432"/>
      <c r="C55" s="281" t="s">
        <v>809</v>
      </c>
      <c r="D55" s="283"/>
      <c r="E55" s="282">
        <v>950000</v>
      </c>
      <c r="F55" s="283">
        <f t="shared" si="3"/>
        <v>950000</v>
      </c>
    </row>
    <row r="56" spans="1:6" s="268" customFormat="1">
      <c r="A56" s="432"/>
      <c r="B56" s="432"/>
      <c r="C56" s="281" t="s">
        <v>800</v>
      </c>
      <c r="D56" s="283"/>
      <c r="E56" s="282">
        <v>1395000</v>
      </c>
      <c r="F56" s="283">
        <f t="shared" si="3"/>
        <v>1395000</v>
      </c>
    </row>
    <row r="57" spans="1:6" s="268" customFormat="1">
      <c r="A57" s="432"/>
      <c r="B57" s="432"/>
      <c r="C57" s="281" t="s">
        <v>801</v>
      </c>
      <c r="D57" s="283"/>
      <c r="E57" s="282">
        <v>3400000</v>
      </c>
      <c r="F57" s="283">
        <f t="shared" si="3"/>
        <v>3400000</v>
      </c>
    </row>
    <row r="58" spans="1:6" s="268" customFormat="1">
      <c r="A58" s="432"/>
      <c r="B58" s="432"/>
      <c r="C58" s="281" t="s">
        <v>802</v>
      </c>
      <c r="D58" s="283"/>
      <c r="E58" s="282">
        <v>4000000</v>
      </c>
      <c r="F58" s="283">
        <f t="shared" si="3"/>
        <v>4000000</v>
      </c>
    </row>
    <row r="59" spans="1:6" s="268" customFormat="1">
      <c r="A59" s="432"/>
      <c r="B59" s="432"/>
      <c r="C59" s="281" t="s">
        <v>803</v>
      </c>
      <c r="D59" s="283"/>
      <c r="E59" s="282">
        <v>9000000</v>
      </c>
      <c r="F59" s="283">
        <f t="shared" si="3"/>
        <v>9000000</v>
      </c>
    </row>
    <row r="60" spans="1:6" s="268" customFormat="1">
      <c r="A60" s="432"/>
      <c r="B60" s="432"/>
      <c r="C60" s="281" t="s">
        <v>804</v>
      </c>
      <c r="D60" s="283"/>
      <c r="E60" s="282">
        <v>1050000</v>
      </c>
      <c r="F60" s="283">
        <f t="shared" si="3"/>
        <v>1050000</v>
      </c>
    </row>
    <row r="61" spans="1:6" s="268" customFormat="1">
      <c r="A61" s="432"/>
      <c r="B61" s="432"/>
      <c r="C61" s="349" t="s">
        <v>629</v>
      </c>
      <c r="D61" s="283">
        <f>SUM(D46:D60)</f>
        <v>0</v>
      </c>
      <c r="E61" s="283">
        <f>SUM(E44:E60)</f>
        <v>32989000</v>
      </c>
      <c r="F61" s="283">
        <f t="shared" si="0"/>
        <v>32989000</v>
      </c>
    </row>
    <row r="62" spans="1:6" ht="21">
      <c r="A62" s="433"/>
      <c r="B62" s="433"/>
      <c r="C62" s="276" t="s">
        <v>239</v>
      </c>
      <c r="D62" s="277">
        <f>+D20+D41+D61</f>
        <v>1000000</v>
      </c>
      <c r="E62" s="277">
        <f>+E20+E41+E61</f>
        <v>80489000</v>
      </c>
      <c r="F62" s="277">
        <f>+F20+F41+F61</f>
        <v>81489000</v>
      </c>
    </row>
    <row r="64" spans="1:6" s="269" customFormat="1" ht="18.75">
      <c r="A64" s="286" t="s">
        <v>751</v>
      </c>
      <c r="B64" s="287"/>
      <c r="C64" s="287"/>
      <c r="D64" s="287"/>
      <c r="E64" s="287"/>
      <c r="F64" s="287"/>
    </row>
    <row r="65" spans="1:11" s="267" customFormat="1" ht="12.75" customHeight="1">
      <c r="A65" s="417" t="s">
        <v>750</v>
      </c>
      <c r="B65" s="418"/>
      <c r="C65" s="418"/>
      <c r="D65" s="418"/>
      <c r="E65" s="418"/>
      <c r="F65" s="419"/>
    </row>
    <row r="66" spans="1:11" s="267" customFormat="1" ht="12.75" customHeight="1">
      <c r="A66" s="420"/>
      <c r="B66" s="421"/>
      <c r="C66" s="421"/>
      <c r="D66" s="421"/>
      <c r="E66" s="421"/>
      <c r="F66" s="422"/>
    </row>
    <row r="67" spans="1:11" s="269" customFormat="1" ht="12.75">
      <c r="A67" s="423" t="s">
        <v>701</v>
      </c>
      <c r="B67" s="424"/>
      <c r="C67" s="426" t="s">
        <v>710</v>
      </c>
      <c r="D67" s="350" t="s">
        <v>703</v>
      </c>
      <c r="E67" s="350" t="s">
        <v>704</v>
      </c>
      <c r="F67" s="348" t="s">
        <v>239</v>
      </c>
    </row>
    <row r="68" spans="1:11" s="269" customFormat="1" ht="22.5" customHeight="1">
      <c r="A68" s="425"/>
      <c r="B68" s="424"/>
      <c r="C68" s="427"/>
      <c r="D68" s="351" t="s">
        <v>705</v>
      </c>
      <c r="E68" s="351" t="s">
        <v>706</v>
      </c>
      <c r="F68" s="352"/>
    </row>
    <row r="69" spans="1:11" s="267" customFormat="1" ht="15" customHeight="1">
      <c r="A69" s="431">
        <v>423</v>
      </c>
      <c r="B69" s="431" t="s">
        <v>740</v>
      </c>
      <c r="C69" s="292" t="s">
        <v>711</v>
      </c>
      <c r="D69" s="288"/>
      <c r="E69" s="289"/>
      <c r="F69" s="289"/>
    </row>
    <row r="70" spans="1:11" s="267" customFormat="1">
      <c r="A70" s="432"/>
      <c r="B70" s="432"/>
      <c r="C70" s="281" t="s">
        <v>810</v>
      </c>
      <c r="D70" s="283"/>
      <c r="E70" s="282">
        <v>7000000</v>
      </c>
      <c r="F70" s="283">
        <f t="shared" ref="F70:F73" si="4">SUM(D70:E70)</f>
        <v>7000000</v>
      </c>
    </row>
    <row r="71" spans="1:11" s="267" customFormat="1">
      <c r="A71" s="432"/>
      <c r="B71" s="432"/>
      <c r="C71" s="281" t="s">
        <v>812</v>
      </c>
      <c r="D71" s="283"/>
      <c r="E71" s="282">
        <v>3120000</v>
      </c>
      <c r="F71" s="283">
        <f t="shared" si="4"/>
        <v>3120000</v>
      </c>
      <c r="K71" s="268"/>
    </row>
    <row r="72" spans="1:11" s="267" customFormat="1">
      <c r="A72" s="432"/>
      <c r="B72" s="432"/>
      <c r="C72" s="281" t="s">
        <v>813</v>
      </c>
      <c r="D72" s="283"/>
      <c r="E72" s="282">
        <v>1950000</v>
      </c>
      <c r="F72" s="283">
        <f t="shared" si="4"/>
        <v>1950000</v>
      </c>
      <c r="K72" s="270"/>
    </row>
    <row r="73" spans="1:11" s="267" customFormat="1">
      <c r="A73" s="432"/>
      <c r="B73" s="432"/>
      <c r="C73" s="312" t="s">
        <v>814</v>
      </c>
      <c r="D73" s="283">
        <v>1000000</v>
      </c>
      <c r="E73" s="282"/>
      <c r="F73" s="283">
        <f t="shared" si="4"/>
        <v>1000000</v>
      </c>
      <c r="K73" s="270"/>
    </row>
    <row r="74" spans="1:11" s="267" customFormat="1">
      <c r="A74" s="432"/>
      <c r="B74" s="432"/>
      <c r="C74" s="349" t="s">
        <v>629</v>
      </c>
      <c r="D74" s="283">
        <f>SUM(D70:D73)</f>
        <v>1000000</v>
      </c>
      <c r="E74" s="283">
        <f>SUM(E70:E73)</f>
        <v>12070000</v>
      </c>
      <c r="F74" s="283">
        <f t="shared" ref="F74" si="5">SUM(D74:E74)</f>
        <v>13070000</v>
      </c>
    </row>
    <row r="75" spans="1:11" s="267" customFormat="1">
      <c r="A75" s="432"/>
      <c r="B75" s="432"/>
      <c r="C75" s="292" t="s">
        <v>712</v>
      </c>
      <c r="D75" s="288"/>
      <c r="E75" s="289"/>
      <c r="F75" s="289"/>
    </row>
    <row r="76" spans="1:11" s="267" customFormat="1">
      <c r="A76" s="432"/>
      <c r="B76" s="432"/>
      <c r="C76" s="281" t="s">
        <v>816</v>
      </c>
      <c r="D76" s="283"/>
      <c r="E76" s="282">
        <v>3500000</v>
      </c>
      <c r="F76" s="283">
        <f t="shared" ref="F76:F78" si="6">SUM(D76:E76)</f>
        <v>3500000</v>
      </c>
    </row>
    <row r="77" spans="1:11" s="267" customFormat="1">
      <c r="A77" s="432"/>
      <c r="B77" s="432"/>
      <c r="C77" s="281" t="s">
        <v>815</v>
      </c>
      <c r="D77" s="283"/>
      <c r="E77" s="282">
        <v>2500000</v>
      </c>
      <c r="F77" s="283">
        <f t="shared" si="6"/>
        <v>2500000</v>
      </c>
    </row>
    <row r="78" spans="1:11" s="267" customFormat="1">
      <c r="A78" s="432"/>
      <c r="B78" s="432"/>
      <c r="C78" s="281"/>
      <c r="D78" s="283"/>
      <c r="E78" s="282"/>
      <c r="F78" s="283">
        <f t="shared" si="6"/>
        <v>0</v>
      </c>
    </row>
    <row r="79" spans="1:11" s="267" customFormat="1">
      <c r="A79" s="432"/>
      <c r="B79" s="432"/>
      <c r="C79" s="349" t="s">
        <v>629</v>
      </c>
      <c r="D79" s="283">
        <f>SUM(D76:D78)</f>
        <v>0</v>
      </c>
      <c r="E79" s="283">
        <f>SUM(E76:E78)</f>
        <v>6000000</v>
      </c>
      <c r="F79" s="283">
        <f>SUM(F76:F78)</f>
        <v>6000000</v>
      </c>
    </row>
    <row r="80" spans="1:11" s="267" customFormat="1" ht="15.75">
      <c r="A80" s="432"/>
      <c r="B80" s="432"/>
      <c r="C80" s="292" t="s">
        <v>862</v>
      </c>
      <c r="D80" s="290"/>
      <c r="E80" s="291"/>
      <c r="F80" s="291"/>
    </row>
    <row r="81" spans="1:8" s="267" customFormat="1">
      <c r="A81" s="432"/>
      <c r="B81" s="432"/>
      <c r="C81" s="281" t="s">
        <v>818</v>
      </c>
      <c r="D81" s="283"/>
      <c r="E81" s="282">
        <v>650000</v>
      </c>
      <c r="F81" s="283">
        <f t="shared" ref="F81:F87" si="7">SUM(D81:E81)</f>
        <v>650000</v>
      </c>
    </row>
    <row r="82" spans="1:8" s="267" customFormat="1">
      <c r="A82" s="432"/>
      <c r="B82" s="432"/>
      <c r="C82" s="281" t="s">
        <v>819</v>
      </c>
      <c r="D82" s="283"/>
      <c r="E82" s="282">
        <v>1500000</v>
      </c>
      <c r="F82" s="283">
        <f t="shared" si="7"/>
        <v>1500000</v>
      </c>
    </row>
    <row r="83" spans="1:8" s="267" customFormat="1">
      <c r="A83" s="432"/>
      <c r="B83" s="432"/>
      <c r="C83" s="281" t="s">
        <v>820</v>
      </c>
      <c r="D83" s="283"/>
      <c r="E83" s="282">
        <v>4700000</v>
      </c>
      <c r="F83" s="283">
        <f t="shared" si="7"/>
        <v>4700000</v>
      </c>
    </row>
    <row r="84" spans="1:8" s="267" customFormat="1">
      <c r="A84" s="432"/>
      <c r="B84" s="432"/>
      <c r="C84" s="281" t="s">
        <v>821</v>
      </c>
      <c r="D84" s="283"/>
      <c r="E84" s="282">
        <v>700000</v>
      </c>
      <c r="F84" s="283">
        <f t="shared" si="7"/>
        <v>700000</v>
      </c>
    </row>
    <row r="85" spans="1:8" s="267" customFormat="1">
      <c r="A85" s="432"/>
      <c r="B85" s="432"/>
      <c r="C85" s="281" t="s">
        <v>822</v>
      </c>
      <c r="D85" s="283"/>
      <c r="E85" s="282">
        <v>4500000</v>
      </c>
      <c r="F85" s="283">
        <f t="shared" si="7"/>
        <v>4500000</v>
      </c>
    </row>
    <row r="86" spans="1:8" s="267" customFormat="1">
      <c r="A86" s="432"/>
      <c r="B86" s="432"/>
      <c r="C86" s="281" t="s">
        <v>823</v>
      </c>
      <c r="D86" s="283"/>
      <c r="E86" s="282">
        <v>2500000</v>
      </c>
      <c r="F86" s="283">
        <f t="shared" si="7"/>
        <v>2500000</v>
      </c>
    </row>
    <row r="87" spans="1:8" s="267" customFormat="1">
      <c r="A87" s="432"/>
      <c r="B87" s="432"/>
      <c r="C87" s="281" t="s">
        <v>824</v>
      </c>
      <c r="D87" s="283"/>
      <c r="E87" s="282">
        <v>2700000</v>
      </c>
      <c r="F87" s="283">
        <f t="shared" si="7"/>
        <v>2700000</v>
      </c>
    </row>
    <row r="88" spans="1:8" s="267" customFormat="1">
      <c r="A88" s="432"/>
      <c r="B88" s="432"/>
      <c r="C88" s="349" t="s">
        <v>629</v>
      </c>
      <c r="D88" s="283">
        <f>SUM(D81:D86)</f>
        <v>0</v>
      </c>
      <c r="E88" s="283">
        <f>SUM(E81:E87)</f>
        <v>17250000</v>
      </c>
      <c r="F88" s="283">
        <f>SUM(F81:F87)</f>
        <v>17250000</v>
      </c>
    </row>
    <row r="89" spans="1:8" s="267" customFormat="1" ht="21">
      <c r="A89" s="433"/>
      <c r="B89" s="433"/>
      <c r="C89" s="293" t="s">
        <v>713</v>
      </c>
      <c r="D89" s="294">
        <f>+D74+D79+D88</f>
        <v>1000000</v>
      </c>
      <c r="E89" s="294">
        <f>+E74+E79+E88</f>
        <v>35320000</v>
      </c>
      <c r="F89" s="294">
        <f>+F74+F79+F88</f>
        <v>36320000</v>
      </c>
      <c r="H89" s="271"/>
    </row>
    <row r="90" spans="1:8" s="269" customFormat="1" ht="12.75">
      <c r="A90" s="442"/>
      <c r="B90" s="443"/>
      <c r="C90" s="443"/>
      <c r="D90" s="442"/>
      <c r="E90" s="443"/>
      <c r="F90" s="444"/>
    </row>
    <row r="92" spans="1:8" s="269" customFormat="1" ht="18.75">
      <c r="A92" s="295"/>
      <c r="B92" s="296"/>
      <c r="C92" s="296"/>
      <c r="D92" s="296"/>
      <c r="E92" s="296"/>
      <c r="F92" s="297"/>
    </row>
    <row r="93" spans="1:8" s="269" customFormat="1" ht="18.75">
      <c r="A93" s="298" t="s">
        <v>751</v>
      </c>
      <c r="B93" s="299"/>
      <c r="C93" s="299"/>
      <c r="D93" s="299"/>
      <c r="E93" s="299"/>
      <c r="F93" s="300"/>
    </row>
    <row r="94" spans="1:8" s="269" customFormat="1" ht="12.75">
      <c r="A94" s="301"/>
      <c r="B94" s="302"/>
      <c r="C94" s="296"/>
      <c r="D94" s="296"/>
      <c r="E94" s="296"/>
      <c r="F94" s="297"/>
    </row>
    <row r="95" spans="1:8" s="269" customFormat="1" ht="23.25">
      <c r="A95" s="445" t="s">
        <v>750</v>
      </c>
      <c r="B95" s="446"/>
      <c r="C95" s="446"/>
      <c r="D95" s="446"/>
      <c r="E95" s="446"/>
      <c r="F95" s="447"/>
    </row>
    <row r="96" spans="1:8" s="269" customFormat="1" ht="12.75">
      <c r="A96" s="303"/>
      <c r="B96" s="287"/>
      <c r="C96" s="299"/>
      <c r="D96" s="299"/>
      <c r="E96" s="299"/>
      <c r="F96" s="300"/>
    </row>
    <row r="97" spans="1:6" s="269" customFormat="1" ht="12.75">
      <c r="A97" s="448" t="s">
        <v>701</v>
      </c>
      <c r="B97" s="449"/>
      <c r="C97" s="452" t="s">
        <v>702</v>
      </c>
      <c r="D97" s="346" t="s">
        <v>703</v>
      </c>
      <c r="E97" s="346" t="s">
        <v>704</v>
      </c>
      <c r="F97" s="454" t="s">
        <v>239</v>
      </c>
    </row>
    <row r="98" spans="1:6" s="269" customFormat="1" ht="31.5" customHeight="1">
      <c r="A98" s="450"/>
      <c r="B98" s="451"/>
      <c r="C98" s="453"/>
      <c r="D98" s="347" t="s">
        <v>705</v>
      </c>
      <c r="E98" s="347" t="s">
        <v>706</v>
      </c>
      <c r="F98" s="455"/>
    </row>
    <row r="99" spans="1:6" s="269" customFormat="1" ht="60" customHeight="1">
      <c r="A99" s="435">
        <v>424</v>
      </c>
      <c r="B99" s="438" t="s">
        <v>714</v>
      </c>
      <c r="C99" s="372" t="s">
        <v>825</v>
      </c>
      <c r="D99" s="314"/>
      <c r="E99" s="313">
        <f>23500000-4246670</f>
        <v>19253330</v>
      </c>
      <c r="F99" s="314">
        <f t="shared" ref="F99" si="8">SUM(D99:E99)</f>
        <v>19253330</v>
      </c>
    </row>
    <row r="100" spans="1:6" s="269" customFormat="1" ht="60" customHeight="1">
      <c r="A100" s="436"/>
      <c r="B100" s="439"/>
      <c r="C100" s="349" t="s">
        <v>629</v>
      </c>
      <c r="D100" s="283">
        <f>SUM(D99)</f>
        <v>0</v>
      </c>
      <c r="E100" s="283">
        <f t="shared" ref="E100:F100" si="9">SUM(E99)</f>
        <v>19253330</v>
      </c>
      <c r="F100" s="283">
        <f t="shared" si="9"/>
        <v>19253330</v>
      </c>
    </row>
    <row r="101" spans="1:6" s="269" customFormat="1" ht="60" customHeight="1">
      <c r="A101" s="436"/>
      <c r="B101" s="440"/>
      <c r="C101" s="357" t="s">
        <v>752</v>
      </c>
      <c r="D101" s="358"/>
      <c r="E101" s="359"/>
      <c r="F101" s="358"/>
    </row>
    <row r="102" spans="1:6" s="269" customFormat="1" ht="60" customHeight="1">
      <c r="A102" s="436"/>
      <c r="B102" s="440"/>
      <c r="C102" s="281" t="s">
        <v>826</v>
      </c>
      <c r="D102" s="283"/>
      <c r="E102" s="282">
        <v>1700000</v>
      </c>
      <c r="F102" s="283">
        <f t="shared" ref="F102" si="10">SUM(D102:E102)</f>
        <v>1700000</v>
      </c>
    </row>
    <row r="103" spans="1:6" s="269" customFormat="1" ht="60" customHeight="1">
      <c r="A103" s="436"/>
      <c r="B103" s="440"/>
      <c r="C103" s="349" t="s">
        <v>629</v>
      </c>
      <c r="D103" s="283">
        <f>SUM(D102)</f>
        <v>0</v>
      </c>
      <c r="E103" s="283">
        <f t="shared" ref="E103" si="11">SUM(E102)</f>
        <v>1700000</v>
      </c>
      <c r="F103" s="283">
        <f t="shared" ref="F103" si="12">SUM(F102)</f>
        <v>1700000</v>
      </c>
    </row>
    <row r="104" spans="1:6" s="269" customFormat="1" ht="60" customHeight="1">
      <c r="A104" s="437"/>
      <c r="B104" s="441"/>
      <c r="C104" s="293" t="s">
        <v>713</v>
      </c>
      <c r="D104" s="294">
        <f>+D103+D100</f>
        <v>0</v>
      </c>
      <c r="E104" s="294">
        <f t="shared" ref="E104:F104" si="13">+E103+E100</f>
        <v>20953330</v>
      </c>
      <c r="F104" s="294">
        <f t="shared" si="13"/>
        <v>20953330</v>
      </c>
    </row>
    <row r="110" spans="1:6">
      <c r="E110" s="94"/>
      <c r="F110" s="308"/>
    </row>
    <row r="112" spans="1:6">
      <c r="E112" s="94"/>
    </row>
  </sheetData>
  <mergeCells count="18">
    <mergeCell ref="A69:A89"/>
    <mergeCell ref="B69:B89"/>
    <mergeCell ref="A99:A104"/>
    <mergeCell ref="B99:B104"/>
    <mergeCell ref="D90:F90"/>
    <mergeCell ref="A95:F95"/>
    <mergeCell ref="A97:B98"/>
    <mergeCell ref="C97:C98"/>
    <mergeCell ref="F97:F98"/>
    <mergeCell ref="A90:C90"/>
    <mergeCell ref="A65:F66"/>
    <mergeCell ref="A67:B68"/>
    <mergeCell ref="C67:C68"/>
    <mergeCell ref="A9:F10"/>
    <mergeCell ref="A11:B12"/>
    <mergeCell ref="C11:C12"/>
    <mergeCell ref="A13:A62"/>
    <mergeCell ref="B13:B62"/>
  </mergeCells>
  <printOptions horizontalCentered="1"/>
  <pageMargins left="0" right="0" top="0.74803149606299213" bottom="0.35433070866141736" header="0.31496062992125984" footer="0.31496062992125984"/>
  <pageSetup paperSize="9" scale="52" orientation="landscape" r:id="rId1"/>
  <rowBreaks count="2" manualBreakCount="2">
    <brk id="62" max="5" man="1"/>
    <brk id="89" max="5" man="1"/>
  </rowBreaks>
  <drawing r:id="rId2"/>
</worksheet>
</file>

<file path=xl/worksheets/sheet3.xml><?xml version="1.0" encoding="utf-8"?>
<worksheet xmlns="http://schemas.openxmlformats.org/spreadsheetml/2006/main" xmlns:r="http://schemas.openxmlformats.org/officeDocument/2006/relationships">
  <dimension ref="A1:M304"/>
  <sheetViews>
    <sheetView workbookViewId="0">
      <selection activeCell="A8" sqref="A8:H8"/>
    </sheetView>
  </sheetViews>
  <sheetFormatPr baseColWidth="10" defaultRowHeight="15"/>
  <cols>
    <col min="1" max="1" width="4.28515625" customWidth="1"/>
    <col min="2" max="2" width="4.42578125" bestFit="1" customWidth="1"/>
    <col min="3" max="3" width="4.140625" bestFit="1" customWidth="1"/>
    <col min="4" max="4" width="6.28515625" bestFit="1" customWidth="1"/>
    <col min="5" max="5" width="5.85546875" bestFit="1" customWidth="1"/>
    <col min="6" max="6" width="4.85546875" bestFit="1" customWidth="1"/>
    <col min="7" max="7" width="52.140625" bestFit="1" customWidth="1"/>
    <col min="8" max="8" width="11.7109375" style="118" bestFit="1" customWidth="1"/>
    <col min="10" max="10" width="14.140625" style="308" bestFit="1" customWidth="1"/>
    <col min="11" max="11" width="12.140625" style="118" bestFit="1" customWidth="1"/>
    <col min="12" max="12" width="13.140625" style="308" bestFit="1" customWidth="1"/>
  </cols>
  <sheetData>
    <row r="1" spans="1:12" s="1" customFormat="1" ht="15" customHeight="1">
      <c r="A1"/>
      <c r="H1" s="117"/>
      <c r="J1" s="3"/>
      <c r="K1" s="117"/>
      <c r="L1" s="3"/>
    </row>
    <row r="2" spans="1:12" s="1" customFormat="1" ht="15" customHeight="1">
      <c r="H2" s="117"/>
      <c r="J2" s="3"/>
      <c r="K2" s="117"/>
      <c r="L2" s="3"/>
    </row>
    <row r="3" spans="1:12" s="1" customFormat="1" ht="15" customHeight="1">
      <c r="H3" s="117"/>
      <c r="J3" s="3"/>
      <c r="K3" s="117"/>
      <c r="L3" s="3"/>
    </row>
    <row r="4" spans="1:12" s="1" customFormat="1" ht="15" customHeight="1">
      <c r="H4" s="117"/>
      <c r="J4" s="3"/>
      <c r="K4" s="117"/>
      <c r="L4" s="3"/>
    </row>
    <row r="5" spans="1:12" s="1" customFormat="1" ht="15" customHeight="1" thickBot="1">
      <c r="A5" s="6"/>
      <c r="B5" s="6"/>
      <c r="C5" s="6"/>
      <c r="D5" s="6"/>
      <c r="E5" s="6"/>
      <c r="F5" s="6"/>
      <c r="G5" s="6"/>
      <c r="H5" s="125"/>
      <c r="J5" s="3"/>
      <c r="K5" s="117"/>
      <c r="L5" s="3"/>
    </row>
    <row r="6" spans="1:12" ht="15.75" thickTop="1"/>
    <row r="7" spans="1:12" s="20" customFormat="1" ht="12.75">
      <c r="A7" s="20" t="s">
        <v>867</v>
      </c>
      <c r="H7" s="115"/>
      <c r="J7" s="310"/>
      <c r="K7" s="115"/>
      <c r="L7" s="310"/>
    </row>
    <row r="8" spans="1:12">
      <c r="A8" s="390" t="s">
        <v>747</v>
      </c>
      <c r="B8" s="390"/>
      <c r="C8" s="390"/>
      <c r="D8" s="390"/>
      <c r="E8" s="390"/>
      <c r="F8" s="390"/>
      <c r="G8" s="390"/>
      <c r="H8" s="390"/>
    </row>
    <row r="9" spans="1:12">
      <c r="A9" s="27" t="s">
        <v>62</v>
      </c>
      <c r="B9" s="27"/>
      <c r="C9" s="27"/>
    </row>
    <row r="10" spans="1:12">
      <c r="A10" s="392" t="s">
        <v>69</v>
      </c>
      <c r="B10" s="392"/>
      <c r="C10" s="392"/>
      <c r="D10" s="392"/>
      <c r="E10" s="392"/>
      <c r="F10" s="392"/>
      <c r="G10" s="393" t="s">
        <v>70</v>
      </c>
      <c r="H10" s="126" t="s">
        <v>4</v>
      </c>
    </row>
    <row r="11" spans="1:12">
      <c r="A11" s="51" t="s">
        <v>63</v>
      </c>
      <c r="B11" s="51" t="s">
        <v>64</v>
      </c>
      <c r="C11" s="51" t="s">
        <v>65</v>
      </c>
      <c r="D11" s="51" t="s">
        <v>66</v>
      </c>
      <c r="E11" s="51" t="s">
        <v>67</v>
      </c>
      <c r="F11" s="51" t="s">
        <v>68</v>
      </c>
      <c r="G11" s="394"/>
      <c r="H11" s="126" t="s">
        <v>71</v>
      </c>
    </row>
    <row r="12" spans="1:12" s="20" customFormat="1">
      <c r="A12" s="53">
        <v>1</v>
      </c>
      <c r="B12" s="53"/>
      <c r="C12" s="53"/>
      <c r="D12" s="53"/>
      <c r="E12" s="53"/>
      <c r="F12" s="53"/>
      <c r="G12" s="55" t="s">
        <v>1</v>
      </c>
      <c r="H12" s="249">
        <f>+H13+H46+H55</f>
        <v>607465240</v>
      </c>
      <c r="J12" s="310"/>
      <c r="K12" s="118"/>
      <c r="L12" s="310"/>
    </row>
    <row r="13" spans="1:12" s="20" customFormat="1">
      <c r="A13" s="53">
        <v>1</v>
      </c>
      <c r="B13" s="53">
        <v>1</v>
      </c>
      <c r="C13" s="53"/>
      <c r="D13" s="53"/>
      <c r="E13" s="53"/>
      <c r="F13" s="53"/>
      <c r="G13" s="58" t="s">
        <v>72</v>
      </c>
      <c r="H13" s="127">
        <f>+H14+H27</f>
        <v>279908810</v>
      </c>
      <c r="J13" s="310"/>
      <c r="K13" s="118"/>
      <c r="L13" s="310"/>
    </row>
    <row r="14" spans="1:12" s="20" customFormat="1">
      <c r="A14" s="53">
        <v>1</v>
      </c>
      <c r="B14" s="53">
        <v>1</v>
      </c>
      <c r="C14" s="53">
        <v>1</v>
      </c>
      <c r="D14" s="53"/>
      <c r="E14" s="53"/>
      <c r="F14" s="53"/>
      <c r="G14" s="58" t="s">
        <v>73</v>
      </c>
      <c r="H14" s="127">
        <f>SUM(H20:H26)+H15</f>
        <v>279908810</v>
      </c>
      <c r="J14" s="310"/>
      <c r="K14" s="118"/>
      <c r="L14" s="310"/>
    </row>
    <row r="15" spans="1:12" s="20" customFormat="1">
      <c r="A15" s="53">
        <v>1</v>
      </c>
      <c r="B15" s="53">
        <v>1</v>
      </c>
      <c r="C15" s="53">
        <v>1</v>
      </c>
      <c r="D15" s="56" t="s">
        <v>74</v>
      </c>
      <c r="E15" s="53"/>
      <c r="F15" s="53"/>
      <c r="G15" s="57" t="s">
        <v>75</v>
      </c>
      <c r="H15" s="128">
        <f>SUM(H16:H19)</f>
        <v>279908810</v>
      </c>
      <c r="J15" s="310"/>
      <c r="K15" s="118"/>
      <c r="L15" s="310"/>
    </row>
    <row r="16" spans="1:12" s="20" customFormat="1">
      <c r="A16" s="53">
        <v>1</v>
      </c>
      <c r="B16" s="53">
        <v>1</v>
      </c>
      <c r="C16" s="53">
        <v>1</v>
      </c>
      <c r="D16" s="56" t="s">
        <v>74</v>
      </c>
      <c r="E16" s="56" t="s">
        <v>74</v>
      </c>
      <c r="F16" s="53"/>
      <c r="G16" s="54" t="s">
        <v>84</v>
      </c>
      <c r="H16" s="129">
        <v>187642050</v>
      </c>
      <c r="J16" s="115"/>
      <c r="K16" s="118"/>
      <c r="L16" s="310"/>
    </row>
    <row r="17" spans="1:12" s="20" customFormat="1">
      <c r="A17" s="53">
        <v>1</v>
      </c>
      <c r="B17" s="53">
        <v>1</v>
      </c>
      <c r="C17" s="53">
        <v>1</v>
      </c>
      <c r="D17" s="56" t="s">
        <v>74</v>
      </c>
      <c r="E17" s="56" t="s">
        <v>76</v>
      </c>
      <c r="F17" s="53"/>
      <c r="G17" s="54" t="s">
        <v>83</v>
      </c>
      <c r="H17" s="129">
        <v>8494740</v>
      </c>
      <c r="J17" s="115"/>
      <c r="K17" s="118"/>
      <c r="L17" s="310"/>
    </row>
    <row r="18" spans="1:12" s="20" customFormat="1">
      <c r="A18" s="53">
        <v>1</v>
      </c>
      <c r="B18" s="53">
        <v>1</v>
      </c>
      <c r="C18" s="53">
        <v>1</v>
      </c>
      <c r="D18" s="56" t="s">
        <v>74</v>
      </c>
      <c r="E18" s="56" t="s">
        <v>77</v>
      </c>
      <c r="F18" s="53"/>
      <c r="G18" s="54" t="s">
        <v>85</v>
      </c>
      <c r="H18" s="129">
        <v>61561910</v>
      </c>
      <c r="J18" s="115"/>
      <c r="K18" s="118"/>
      <c r="L18" s="310"/>
    </row>
    <row r="19" spans="1:12" s="20" customFormat="1">
      <c r="A19" s="53">
        <v>1</v>
      </c>
      <c r="B19" s="53">
        <v>1</v>
      </c>
      <c r="C19" s="53">
        <v>1</v>
      </c>
      <c r="D19" s="56" t="s">
        <v>74</v>
      </c>
      <c r="E19" s="56" t="s">
        <v>78</v>
      </c>
      <c r="F19" s="53"/>
      <c r="G19" s="54" t="s">
        <v>86</v>
      </c>
      <c r="H19" s="129">
        <v>22210110</v>
      </c>
      <c r="J19" s="115"/>
      <c r="K19" s="118"/>
      <c r="L19" s="310"/>
    </row>
    <row r="20" spans="1:12" s="20" customFormat="1">
      <c r="A20" s="53">
        <v>1</v>
      </c>
      <c r="B20" s="53">
        <v>1</v>
      </c>
      <c r="C20" s="53">
        <v>1</v>
      </c>
      <c r="D20" s="56" t="s">
        <v>74</v>
      </c>
      <c r="E20" s="56" t="s">
        <v>79</v>
      </c>
      <c r="F20" s="53"/>
      <c r="G20" s="54" t="s">
        <v>87</v>
      </c>
      <c r="H20" s="129">
        <v>0</v>
      </c>
      <c r="J20" s="310"/>
      <c r="K20" s="118"/>
      <c r="L20" s="310"/>
    </row>
    <row r="21" spans="1:12" s="20" customFormat="1">
      <c r="A21" s="53">
        <v>1</v>
      </c>
      <c r="B21" s="53">
        <v>1</v>
      </c>
      <c r="C21" s="53">
        <v>1</v>
      </c>
      <c r="D21" s="56" t="s">
        <v>74</v>
      </c>
      <c r="E21" s="56" t="s">
        <v>80</v>
      </c>
      <c r="F21" s="53"/>
      <c r="G21" s="54" t="s">
        <v>88</v>
      </c>
      <c r="H21" s="129">
        <v>0</v>
      </c>
      <c r="J21" s="310"/>
      <c r="K21" s="118"/>
      <c r="L21" s="310"/>
    </row>
    <row r="22" spans="1:12" s="20" customFormat="1">
      <c r="A22" s="53">
        <v>1</v>
      </c>
      <c r="B22" s="53">
        <v>1</v>
      </c>
      <c r="C22" s="53">
        <v>1</v>
      </c>
      <c r="D22" s="56" t="s">
        <v>74</v>
      </c>
      <c r="E22" s="56" t="s">
        <v>81</v>
      </c>
      <c r="F22" s="53"/>
      <c r="G22" s="54" t="s">
        <v>89</v>
      </c>
      <c r="H22" s="129">
        <v>0</v>
      </c>
      <c r="J22" s="310"/>
      <c r="K22" s="118"/>
      <c r="L22" s="310"/>
    </row>
    <row r="23" spans="1:12" s="20" customFormat="1">
      <c r="A23" s="53">
        <v>1</v>
      </c>
      <c r="B23" s="53">
        <v>1</v>
      </c>
      <c r="C23" s="53">
        <v>1</v>
      </c>
      <c r="D23" s="56" t="s">
        <v>74</v>
      </c>
      <c r="E23" s="56" t="s">
        <v>82</v>
      </c>
      <c r="F23" s="53"/>
      <c r="G23" s="54" t="s">
        <v>90</v>
      </c>
      <c r="H23" s="129">
        <v>0</v>
      </c>
      <c r="J23" s="310"/>
      <c r="K23" s="118"/>
      <c r="L23" s="310"/>
    </row>
    <row r="24" spans="1:12" s="20" customFormat="1" ht="12.75">
      <c r="A24" s="53">
        <v>1</v>
      </c>
      <c r="B24" s="53">
        <v>1</v>
      </c>
      <c r="C24" s="53">
        <v>1</v>
      </c>
      <c r="D24" s="56" t="s">
        <v>74</v>
      </c>
      <c r="E24" s="56" t="s">
        <v>93</v>
      </c>
      <c r="F24" s="53"/>
      <c r="G24" s="54" t="s">
        <v>91</v>
      </c>
      <c r="H24" s="129">
        <v>0</v>
      </c>
      <c r="J24" s="310"/>
      <c r="K24" s="115"/>
      <c r="L24" s="310"/>
    </row>
    <row r="25" spans="1:12" s="20" customFormat="1" ht="12.75">
      <c r="A25" s="53">
        <v>1</v>
      </c>
      <c r="B25" s="53">
        <v>1</v>
      </c>
      <c r="C25" s="53">
        <v>1</v>
      </c>
      <c r="D25" s="56" t="s">
        <v>74</v>
      </c>
      <c r="E25" s="56" t="s">
        <v>94</v>
      </c>
      <c r="F25" s="53"/>
      <c r="G25" s="54" t="s">
        <v>92</v>
      </c>
      <c r="H25" s="129">
        <v>0</v>
      </c>
      <c r="J25" s="310"/>
      <c r="K25" s="115"/>
      <c r="L25" s="310"/>
    </row>
    <row r="26" spans="1:12" s="20" customFormat="1" ht="12.75">
      <c r="A26" s="53">
        <v>1</v>
      </c>
      <c r="B26" s="53">
        <v>1</v>
      </c>
      <c r="C26" s="53">
        <v>1</v>
      </c>
      <c r="D26" s="56" t="s">
        <v>74</v>
      </c>
      <c r="E26" s="56" t="s">
        <v>155</v>
      </c>
      <c r="F26" s="53"/>
      <c r="G26" s="54" t="s">
        <v>677</v>
      </c>
      <c r="H26" s="129">
        <v>0</v>
      </c>
      <c r="J26" s="310"/>
      <c r="K26" s="115"/>
      <c r="L26" s="310"/>
    </row>
    <row r="27" spans="1:12" s="20" customFormat="1" ht="12.75">
      <c r="A27" s="53">
        <v>1</v>
      </c>
      <c r="B27" s="53">
        <v>1</v>
      </c>
      <c r="C27" s="53">
        <v>3</v>
      </c>
      <c r="D27" s="56"/>
      <c r="E27" s="56"/>
      <c r="F27" s="53"/>
      <c r="G27" s="58" t="s">
        <v>95</v>
      </c>
      <c r="H27" s="127">
        <f>+H28</f>
        <v>0</v>
      </c>
      <c r="J27" s="310"/>
      <c r="K27" s="115"/>
      <c r="L27" s="310"/>
    </row>
    <row r="28" spans="1:12" s="20" customFormat="1" ht="12.75">
      <c r="A28" s="53">
        <v>1</v>
      </c>
      <c r="B28" s="53">
        <v>1</v>
      </c>
      <c r="C28" s="53">
        <v>3</v>
      </c>
      <c r="D28" s="56" t="s">
        <v>74</v>
      </c>
      <c r="E28" s="56"/>
      <c r="F28" s="53"/>
      <c r="G28" s="57" t="s">
        <v>96</v>
      </c>
      <c r="H28" s="128">
        <f>+H29+H34+H35+H38+H40</f>
        <v>0</v>
      </c>
      <c r="J28" s="310"/>
      <c r="K28" s="115"/>
      <c r="L28" s="310"/>
    </row>
    <row r="29" spans="1:12" s="20" customFormat="1" ht="12.75">
      <c r="A29" s="53">
        <v>1</v>
      </c>
      <c r="B29" s="53">
        <v>1</v>
      </c>
      <c r="C29" s="53">
        <v>3</v>
      </c>
      <c r="D29" s="56" t="s">
        <v>74</v>
      </c>
      <c r="E29" s="56" t="s">
        <v>74</v>
      </c>
      <c r="F29" s="53"/>
      <c r="G29" s="54" t="s">
        <v>97</v>
      </c>
      <c r="H29" s="128">
        <f>SUM(H30:H33)</f>
        <v>0</v>
      </c>
      <c r="J29" s="310"/>
      <c r="K29" s="115"/>
      <c r="L29" s="310"/>
    </row>
    <row r="30" spans="1:12" s="20" customFormat="1" ht="12.75">
      <c r="A30" s="53">
        <v>1</v>
      </c>
      <c r="B30" s="53">
        <v>1</v>
      </c>
      <c r="C30" s="53">
        <v>3</v>
      </c>
      <c r="D30" s="56" t="s">
        <v>74</v>
      </c>
      <c r="E30" s="56" t="s">
        <v>74</v>
      </c>
      <c r="F30" s="56" t="s">
        <v>98</v>
      </c>
      <c r="G30" s="54" t="s">
        <v>99</v>
      </c>
      <c r="H30" s="129">
        <v>0</v>
      </c>
      <c r="J30" s="310"/>
      <c r="K30" s="115"/>
      <c r="L30" s="310"/>
    </row>
    <row r="31" spans="1:12" s="20" customFormat="1" ht="12.75">
      <c r="A31" s="53">
        <v>1</v>
      </c>
      <c r="B31" s="53">
        <v>1</v>
      </c>
      <c r="C31" s="53">
        <v>3</v>
      </c>
      <c r="D31" s="56" t="s">
        <v>74</v>
      </c>
      <c r="E31" s="56" t="s">
        <v>74</v>
      </c>
      <c r="F31" s="56" t="s">
        <v>102</v>
      </c>
      <c r="G31" s="54" t="s">
        <v>100</v>
      </c>
      <c r="H31" s="129">
        <v>0</v>
      </c>
      <c r="J31" s="310"/>
      <c r="K31" s="115"/>
      <c r="L31" s="310"/>
    </row>
    <row r="32" spans="1:12" s="20" customFormat="1" ht="12.75">
      <c r="A32" s="53">
        <v>1</v>
      </c>
      <c r="B32" s="53">
        <v>1</v>
      </c>
      <c r="C32" s="53">
        <v>3</v>
      </c>
      <c r="D32" s="56" t="s">
        <v>74</v>
      </c>
      <c r="E32" s="56" t="s">
        <v>74</v>
      </c>
      <c r="F32" s="56" t="s">
        <v>103</v>
      </c>
      <c r="G32" s="54" t="s">
        <v>101</v>
      </c>
      <c r="H32" s="129">
        <v>0</v>
      </c>
      <c r="J32" s="310"/>
      <c r="K32" s="115"/>
      <c r="L32" s="310"/>
    </row>
    <row r="33" spans="1:12" s="20" customFormat="1" ht="12.75">
      <c r="A33" s="53">
        <v>1</v>
      </c>
      <c r="B33" s="53">
        <v>1</v>
      </c>
      <c r="C33" s="53">
        <v>3</v>
      </c>
      <c r="D33" s="56" t="s">
        <v>74</v>
      </c>
      <c r="E33" s="56" t="s">
        <v>74</v>
      </c>
      <c r="F33" s="56" t="s">
        <v>104</v>
      </c>
      <c r="G33" s="54" t="s">
        <v>105</v>
      </c>
      <c r="H33" s="129">
        <v>0</v>
      </c>
      <c r="J33" s="310"/>
      <c r="K33" s="115"/>
      <c r="L33" s="310"/>
    </row>
    <row r="34" spans="1:12" s="20" customFormat="1" ht="12.75">
      <c r="A34" s="53">
        <v>1</v>
      </c>
      <c r="B34" s="53">
        <v>1</v>
      </c>
      <c r="C34" s="53">
        <v>3</v>
      </c>
      <c r="D34" s="56" t="s">
        <v>74</v>
      </c>
      <c r="E34" s="56" t="s">
        <v>77</v>
      </c>
      <c r="F34" s="56"/>
      <c r="G34" s="54" t="s">
        <v>106</v>
      </c>
      <c r="H34" s="128">
        <v>0</v>
      </c>
      <c r="J34" s="310"/>
      <c r="K34" s="115"/>
      <c r="L34" s="310"/>
    </row>
    <row r="35" spans="1:12" s="20" customFormat="1" ht="12.75">
      <c r="A35" s="53">
        <v>1</v>
      </c>
      <c r="B35" s="53">
        <v>1</v>
      </c>
      <c r="C35" s="53">
        <v>3</v>
      </c>
      <c r="D35" s="56" t="s">
        <v>74</v>
      </c>
      <c r="E35" s="56" t="s">
        <v>78</v>
      </c>
      <c r="F35" s="56"/>
      <c r="G35" s="54" t="s">
        <v>108</v>
      </c>
      <c r="H35" s="128">
        <v>0</v>
      </c>
      <c r="J35" s="310"/>
      <c r="K35" s="115"/>
      <c r="L35" s="310"/>
    </row>
    <row r="36" spans="1:12" s="20" customFormat="1" ht="12.75">
      <c r="A36" s="53">
        <v>1</v>
      </c>
      <c r="B36" s="53">
        <v>1</v>
      </c>
      <c r="C36" s="53">
        <v>3</v>
      </c>
      <c r="D36" s="56" t="s">
        <v>74</v>
      </c>
      <c r="E36" s="56" t="s">
        <v>78</v>
      </c>
      <c r="F36" s="56" t="s">
        <v>102</v>
      </c>
      <c r="G36" s="54" t="s">
        <v>107</v>
      </c>
      <c r="H36" s="129">
        <v>0</v>
      </c>
      <c r="J36" s="310"/>
      <c r="K36" s="115"/>
      <c r="L36" s="310"/>
    </row>
    <row r="37" spans="1:12" s="20" customFormat="1" ht="12.75">
      <c r="A37" s="53">
        <v>1</v>
      </c>
      <c r="B37" s="53">
        <v>1</v>
      </c>
      <c r="C37" s="53">
        <v>3</v>
      </c>
      <c r="D37" s="56" t="s">
        <v>74</v>
      </c>
      <c r="E37" s="56" t="s">
        <v>78</v>
      </c>
      <c r="F37" s="56" t="s">
        <v>109</v>
      </c>
      <c r="G37" s="54" t="s">
        <v>110</v>
      </c>
      <c r="H37" s="129">
        <v>0</v>
      </c>
      <c r="J37" s="310"/>
      <c r="K37" s="115"/>
      <c r="L37" s="310"/>
    </row>
    <row r="38" spans="1:12" s="20" customFormat="1" ht="12.75">
      <c r="A38" s="53">
        <v>1</v>
      </c>
      <c r="B38" s="53">
        <v>1</v>
      </c>
      <c r="C38" s="53">
        <v>3</v>
      </c>
      <c r="D38" s="56" t="s">
        <v>74</v>
      </c>
      <c r="E38" s="56" t="s">
        <v>79</v>
      </c>
      <c r="F38" s="56"/>
      <c r="G38" s="54" t="s">
        <v>111</v>
      </c>
      <c r="H38" s="128">
        <f>SUM(H39)</f>
        <v>0</v>
      </c>
      <c r="J38" s="310"/>
      <c r="K38" s="115"/>
      <c r="L38" s="310"/>
    </row>
    <row r="39" spans="1:12" s="20" customFormat="1" ht="12.75">
      <c r="A39" s="53">
        <v>1</v>
      </c>
      <c r="B39" s="53">
        <v>1</v>
      </c>
      <c r="C39" s="53">
        <v>3</v>
      </c>
      <c r="D39" s="56" t="s">
        <v>74</v>
      </c>
      <c r="E39" s="56" t="s">
        <v>79</v>
      </c>
      <c r="F39" s="56" t="s">
        <v>112</v>
      </c>
      <c r="G39" s="54" t="s">
        <v>113</v>
      </c>
      <c r="H39" s="129">
        <v>0</v>
      </c>
      <c r="J39" s="310"/>
      <c r="K39" s="115"/>
      <c r="L39" s="310"/>
    </row>
    <row r="40" spans="1:12" s="20" customFormat="1" ht="12.75">
      <c r="A40" s="53">
        <v>1</v>
      </c>
      <c r="B40" s="53">
        <v>1</v>
      </c>
      <c r="C40" s="53">
        <v>3</v>
      </c>
      <c r="D40" s="56" t="s">
        <v>74</v>
      </c>
      <c r="E40" s="56" t="s">
        <v>80</v>
      </c>
      <c r="F40" s="56"/>
      <c r="G40" s="54" t="s">
        <v>114</v>
      </c>
      <c r="H40" s="128">
        <f>SUM(H41:H45)</f>
        <v>0</v>
      </c>
      <c r="J40" s="310"/>
      <c r="K40" s="115"/>
      <c r="L40" s="310"/>
    </row>
    <row r="41" spans="1:12" s="20" customFormat="1" ht="12.75">
      <c r="A41" s="53">
        <v>1</v>
      </c>
      <c r="B41" s="53">
        <v>1</v>
      </c>
      <c r="C41" s="53">
        <v>3</v>
      </c>
      <c r="D41" s="56" t="s">
        <v>74</v>
      </c>
      <c r="E41" s="56" t="s">
        <v>80</v>
      </c>
      <c r="F41" s="56" t="s">
        <v>109</v>
      </c>
      <c r="G41" s="54" t="s">
        <v>115</v>
      </c>
      <c r="H41" s="129"/>
      <c r="J41" s="310"/>
      <c r="L41" s="310"/>
    </row>
    <row r="42" spans="1:12" s="20" customFormat="1" ht="12.75">
      <c r="A42" s="53">
        <v>1</v>
      </c>
      <c r="B42" s="53">
        <v>1</v>
      </c>
      <c r="C42" s="53">
        <v>3</v>
      </c>
      <c r="D42" s="56" t="s">
        <v>74</v>
      </c>
      <c r="E42" s="56" t="s">
        <v>80</v>
      </c>
      <c r="F42" s="56" t="s">
        <v>112</v>
      </c>
      <c r="G42" s="54" t="s">
        <v>116</v>
      </c>
      <c r="H42" s="129">
        <v>0</v>
      </c>
      <c r="J42" s="310"/>
      <c r="K42" s="115"/>
      <c r="L42" s="310"/>
    </row>
    <row r="43" spans="1:12" s="20" customFormat="1" ht="12.75">
      <c r="A43" s="53">
        <v>1</v>
      </c>
      <c r="B43" s="53">
        <v>1</v>
      </c>
      <c r="C43" s="53">
        <v>3</v>
      </c>
      <c r="D43" s="56" t="s">
        <v>74</v>
      </c>
      <c r="E43" s="56" t="s">
        <v>80</v>
      </c>
      <c r="F43" s="56" t="s">
        <v>117</v>
      </c>
      <c r="G43" s="54" t="s">
        <v>118</v>
      </c>
      <c r="H43" s="129">
        <v>0</v>
      </c>
      <c r="J43" s="310"/>
      <c r="K43" s="115"/>
      <c r="L43" s="310"/>
    </row>
    <row r="44" spans="1:12" s="20" customFormat="1" ht="12.75">
      <c r="A44" s="53">
        <v>1</v>
      </c>
      <c r="B44" s="53">
        <v>1</v>
      </c>
      <c r="C44" s="53">
        <v>3</v>
      </c>
      <c r="D44" s="56" t="s">
        <v>74</v>
      </c>
      <c r="E44" s="56" t="s">
        <v>80</v>
      </c>
      <c r="F44" s="56" t="s">
        <v>119</v>
      </c>
      <c r="G44" s="54" t="s">
        <v>120</v>
      </c>
      <c r="H44" s="129">
        <v>0</v>
      </c>
      <c r="J44" s="310"/>
      <c r="K44" s="115"/>
      <c r="L44" s="310"/>
    </row>
    <row r="45" spans="1:12" s="20" customFormat="1" ht="12.75">
      <c r="A45" s="53">
        <v>1</v>
      </c>
      <c r="B45" s="53">
        <v>1</v>
      </c>
      <c r="C45" s="53">
        <v>3</v>
      </c>
      <c r="D45" s="56" t="s">
        <v>74</v>
      </c>
      <c r="E45" s="56" t="s">
        <v>80</v>
      </c>
      <c r="F45" s="56" t="s">
        <v>104</v>
      </c>
      <c r="G45" s="54" t="s">
        <v>127</v>
      </c>
      <c r="H45" s="129">
        <v>0</v>
      </c>
      <c r="J45" s="310"/>
      <c r="K45" s="115"/>
      <c r="L45" s="310"/>
    </row>
    <row r="46" spans="1:12" s="20" customFormat="1" ht="12.75">
      <c r="A46" s="53">
        <v>1</v>
      </c>
      <c r="B46" s="53">
        <v>2</v>
      </c>
      <c r="C46" s="53"/>
      <c r="D46" s="56"/>
      <c r="E46" s="56"/>
      <c r="F46" s="56"/>
      <c r="G46" s="58" t="s">
        <v>121</v>
      </c>
      <c r="H46" s="127">
        <f>+H47+H50</f>
        <v>224881890</v>
      </c>
      <c r="J46" s="310"/>
      <c r="K46" s="115"/>
      <c r="L46" s="310"/>
    </row>
    <row r="47" spans="1:12" s="20" customFormat="1" ht="12.75">
      <c r="A47" s="53">
        <v>1</v>
      </c>
      <c r="B47" s="53">
        <v>2</v>
      </c>
      <c r="C47" s="53">
        <v>1</v>
      </c>
      <c r="D47" s="56"/>
      <c r="E47" s="56"/>
      <c r="F47" s="56"/>
      <c r="G47" s="58" t="s">
        <v>122</v>
      </c>
      <c r="H47" s="127">
        <f>+H48+H49</f>
        <v>224881890</v>
      </c>
      <c r="J47" s="310"/>
      <c r="K47" s="115"/>
      <c r="L47" s="310"/>
    </row>
    <row r="48" spans="1:12" s="20" customFormat="1" ht="12.75">
      <c r="A48" s="53">
        <v>1</v>
      </c>
      <c r="B48" s="53">
        <v>2</v>
      </c>
      <c r="C48" s="53">
        <v>1</v>
      </c>
      <c r="D48" s="56" t="s">
        <v>74</v>
      </c>
      <c r="E48" s="56"/>
      <c r="F48" s="56"/>
      <c r="G48" s="57" t="s">
        <v>123</v>
      </c>
      <c r="H48" s="128">
        <v>224881890</v>
      </c>
      <c r="J48" s="115"/>
      <c r="K48" s="115"/>
      <c r="L48" s="310"/>
    </row>
    <row r="49" spans="1:12" s="20" customFormat="1" ht="12.75">
      <c r="A49" s="53">
        <v>1</v>
      </c>
      <c r="B49" s="53">
        <v>2</v>
      </c>
      <c r="C49" s="53">
        <v>1</v>
      </c>
      <c r="D49" s="56" t="s">
        <v>77</v>
      </c>
      <c r="E49" s="56"/>
      <c r="F49" s="56"/>
      <c r="G49" s="57" t="s">
        <v>124</v>
      </c>
      <c r="H49" s="128">
        <v>0</v>
      </c>
      <c r="J49" s="310"/>
      <c r="K49" s="115"/>
      <c r="L49" s="310"/>
    </row>
    <row r="50" spans="1:12" s="20" customFormat="1" ht="12.75">
      <c r="A50" s="53">
        <v>1</v>
      </c>
      <c r="B50" s="53">
        <v>2</v>
      </c>
      <c r="C50" s="53">
        <v>4</v>
      </c>
      <c r="D50" s="56"/>
      <c r="E50" s="56"/>
      <c r="F50" s="56"/>
      <c r="G50" s="58" t="s">
        <v>125</v>
      </c>
      <c r="H50" s="127">
        <f>+H51</f>
        <v>0</v>
      </c>
      <c r="J50" s="310"/>
      <c r="K50" s="115"/>
      <c r="L50" s="310"/>
    </row>
    <row r="51" spans="1:12" s="20" customFormat="1" ht="12.75">
      <c r="A51" s="53">
        <v>1</v>
      </c>
      <c r="B51" s="53">
        <v>2</v>
      </c>
      <c r="C51" s="53">
        <v>4</v>
      </c>
      <c r="D51" s="56" t="s">
        <v>74</v>
      </c>
      <c r="E51" s="56"/>
      <c r="F51" s="56"/>
      <c r="G51" s="57" t="s">
        <v>96</v>
      </c>
      <c r="H51" s="128">
        <f>+H52+H53</f>
        <v>0</v>
      </c>
      <c r="J51" s="310"/>
      <c r="K51" s="115"/>
      <c r="L51" s="310"/>
    </row>
    <row r="52" spans="1:12" s="20" customFormat="1" ht="12.75">
      <c r="A52" s="53">
        <v>1</v>
      </c>
      <c r="B52" s="53">
        <v>2</v>
      </c>
      <c r="C52" s="53">
        <v>4</v>
      </c>
      <c r="D52" s="56" t="s">
        <v>74</v>
      </c>
      <c r="E52" s="56" t="s">
        <v>80</v>
      </c>
      <c r="F52" s="56"/>
      <c r="G52" s="54" t="s">
        <v>126</v>
      </c>
      <c r="H52" s="128">
        <v>0</v>
      </c>
      <c r="J52" s="310"/>
      <c r="K52" s="115"/>
      <c r="L52" s="310"/>
    </row>
    <row r="53" spans="1:12" s="20" customFormat="1" ht="12.75">
      <c r="A53" s="53">
        <v>1</v>
      </c>
      <c r="B53" s="53">
        <v>2</v>
      </c>
      <c r="C53" s="53">
        <v>4</v>
      </c>
      <c r="D53" s="56" t="s">
        <v>74</v>
      </c>
      <c r="E53" s="56" t="s">
        <v>129</v>
      </c>
      <c r="F53" s="56"/>
      <c r="G53" s="54" t="s">
        <v>128</v>
      </c>
      <c r="H53" s="128">
        <f>+H54</f>
        <v>0</v>
      </c>
      <c r="J53" s="310"/>
      <c r="K53" s="115"/>
      <c r="L53" s="310"/>
    </row>
    <row r="54" spans="1:12" s="20" customFormat="1" ht="12.75">
      <c r="A54" s="53">
        <v>1</v>
      </c>
      <c r="B54" s="53">
        <v>2</v>
      </c>
      <c r="C54" s="53">
        <v>4</v>
      </c>
      <c r="D54" s="56" t="s">
        <v>74</v>
      </c>
      <c r="E54" s="56" t="s">
        <v>129</v>
      </c>
      <c r="F54" s="56" t="s">
        <v>98</v>
      </c>
      <c r="G54" s="54" t="s">
        <v>130</v>
      </c>
      <c r="H54" s="129">
        <v>0</v>
      </c>
      <c r="J54" s="310"/>
      <c r="K54" s="115"/>
      <c r="L54" s="310"/>
    </row>
    <row r="55" spans="1:12" s="20" customFormat="1" ht="12.75">
      <c r="A55" s="53">
        <v>1</v>
      </c>
      <c r="B55" s="53">
        <v>3</v>
      </c>
      <c r="C55" s="53"/>
      <c r="D55" s="56"/>
      <c r="E55" s="56"/>
      <c r="F55" s="56"/>
      <c r="G55" s="58" t="s">
        <v>131</v>
      </c>
      <c r="H55" s="127">
        <f>+H56+H85</f>
        <v>102674540</v>
      </c>
      <c r="J55" s="310"/>
      <c r="K55" s="115"/>
      <c r="L55" s="310"/>
    </row>
    <row r="56" spans="1:12" s="20" customFormat="1" ht="12.75">
      <c r="A56" s="53">
        <v>1</v>
      </c>
      <c r="B56" s="53">
        <v>3</v>
      </c>
      <c r="C56" s="53">
        <v>2</v>
      </c>
      <c r="D56" s="56"/>
      <c r="E56" s="56"/>
      <c r="F56" s="56"/>
      <c r="G56" s="58" t="s">
        <v>132</v>
      </c>
      <c r="H56" s="127">
        <f>+H57+H66+H71+H74+H75+H76+H77+H78+H80+H81+H82+H83+H84</f>
        <v>81648240</v>
      </c>
      <c r="J56" s="310"/>
      <c r="K56" s="115"/>
      <c r="L56" s="310"/>
    </row>
    <row r="57" spans="1:12" s="20" customFormat="1" ht="12.75">
      <c r="A57" s="53">
        <v>1</v>
      </c>
      <c r="B57" s="53">
        <v>3</v>
      </c>
      <c r="C57" s="53">
        <v>2</v>
      </c>
      <c r="D57" s="56" t="s">
        <v>74</v>
      </c>
      <c r="E57" s="56"/>
      <c r="F57" s="56"/>
      <c r="G57" s="57" t="s">
        <v>133</v>
      </c>
      <c r="H57" s="128">
        <f>SUM(H58:H62)</f>
        <v>45929310</v>
      </c>
      <c r="J57" s="310"/>
      <c r="K57" s="115"/>
      <c r="L57" s="310"/>
    </row>
    <row r="58" spans="1:12" s="20" customFormat="1" ht="12.75">
      <c r="A58" s="53">
        <v>1</v>
      </c>
      <c r="B58" s="53">
        <v>3</v>
      </c>
      <c r="C58" s="53">
        <v>2</v>
      </c>
      <c r="D58" s="56" t="s">
        <v>74</v>
      </c>
      <c r="E58" s="56" t="s">
        <v>74</v>
      </c>
      <c r="F58" s="53"/>
      <c r="G58" s="54" t="s">
        <v>134</v>
      </c>
      <c r="H58" s="129">
        <v>37700820</v>
      </c>
      <c r="J58" s="310"/>
      <c r="K58" s="115"/>
      <c r="L58" s="310"/>
    </row>
    <row r="59" spans="1:12" s="20" customFormat="1" ht="12.75">
      <c r="A59" s="53">
        <v>1</v>
      </c>
      <c r="B59" s="53">
        <v>3</v>
      </c>
      <c r="C59" s="53">
        <v>2</v>
      </c>
      <c r="D59" s="56" t="s">
        <v>74</v>
      </c>
      <c r="E59" s="56" t="s">
        <v>76</v>
      </c>
      <c r="F59" s="53"/>
      <c r="G59" s="54" t="s">
        <v>137</v>
      </c>
      <c r="H59" s="129">
        <v>3975550</v>
      </c>
      <c r="J59" s="310"/>
      <c r="K59" s="115"/>
      <c r="L59" s="310"/>
    </row>
    <row r="60" spans="1:12" s="20" customFormat="1" ht="12.75">
      <c r="A60" s="53">
        <v>1</v>
      </c>
      <c r="B60" s="53">
        <v>3</v>
      </c>
      <c r="C60" s="53">
        <v>2</v>
      </c>
      <c r="D60" s="56" t="s">
        <v>74</v>
      </c>
      <c r="E60" s="56" t="s">
        <v>77</v>
      </c>
      <c r="F60" s="53"/>
      <c r="G60" s="54" t="s">
        <v>135</v>
      </c>
      <c r="H60" s="129">
        <v>4252940</v>
      </c>
      <c r="J60" s="310"/>
      <c r="K60" s="115"/>
      <c r="L60" s="310"/>
    </row>
    <row r="61" spans="1:12" s="20" customFormat="1" ht="12.75">
      <c r="A61" s="53">
        <v>1</v>
      </c>
      <c r="B61" s="53">
        <v>3</v>
      </c>
      <c r="C61" s="53">
        <v>2</v>
      </c>
      <c r="D61" s="56" t="s">
        <v>74</v>
      </c>
      <c r="E61" s="56" t="s">
        <v>78</v>
      </c>
      <c r="F61" s="53"/>
      <c r="G61" s="54" t="s">
        <v>136</v>
      </c>
      <c r="H61" s="129">
        <v>0</v>
      </c>
      <c r="J61" s="310"/>
      <c r="K61" s="115"/>
      <c r="L61" s="310"/>
    </row>
    <row r="62" spans="1:12" s="20" customFormat="1" ht="12.75">
      <c r="A62" s="53">
        <v>1</v>
      </c>
      <c r="B62" s="53">
        <v>3</v>
      </c>
      <c r="C62" s="53">
        <v>2</v>
      </c>
      <c r="D62" s="56" t="s">
        <v>74</v>
      </c>
      <c r="E62" s="56" t="s">
        <v>79</v>
      </c>
      <c r="F62" s="53"/>
      <c r="G62" s="54" t="s">
        <v>138</v>
      </c>
      <c r="H62" s="129">
        <v>0</v>
      </c>
      <c r="J62" s="310"/>
      <c r="K62" s="115"/>
      <c r="L62" s="310"/>
    </row>
    <row r="63" spans="1:12" s="20" customFormat="1" ht="12.75">
      <c r="A63" s="52"/>
      <c r="B63" s="52"/>
      <c r="C63" s="52"/>
      <c r="D63" s="52"/>
      <c r="E63" s="52"/>
      <c r="F63" s="52"/>
      <c r="H63" s="115"/>
      <c r="J63" s="310"/>
      <c r="K63" s="115"/>
      <c r="L63" s="310"/>
    </row>
    <row r="64" spans="1:12">
      <c r="A64" s="392" t="s">
        <v>69</v>
      </c>
      <c r="B64" s="392"/>
      <c r="C64" s="392"/>
      <c r="D64" s="392"/>
      <c r="E64" s="392"/>
      <c r="F64" s="392"/>
      <c r="G64" s="393" t="s">
        <v>70</v>
      </c>
      <c r="H64" s="126" t="s">
        <v>4</v>
      </c>
      <c r="J64" s="310"/>
    </row>
    <row r="65" spans="1:12">
      <c r="A65" s="51" t="s">
        <v>63</v>
      </c>
      <c r="B65" s="51" t="s">
        <v>64</v>
      </c>
      <c r="C65" s="51" t="s">
        <v>65</v>
      </c>
      <c r="D65" s="51" t="s">
        <v>66</v>
      </c>
      <c r="E65" s="51" t="s">
        <v>67</v>
      </c>
      <c r="F65" s="51" t="s">
        <v>68</v>
      </c>
      <c r="G65" s="394"/>
      <c r="H65" s="126" t="s">
        <v>71</v>
      </c>
      <c r="J65" s="310"/>
    </row>
    <row r="66" spans="1:12" s="20" customFormat="1" ht="12.75">
      <c r="A66" s="53">
        <v>1</v>
      </c>
      <c r="B66" s="53">
        <v>3</v>
      </c>
      <c r="C66" s="53">
        <v>2</v>
      </c>
      <c r="D66" s="56" t="s">
        <v>76</v>
      </c>
      <c r="E66" s="56"/>
      <c r="F66" s="56"/>
      <c r="G66" s="57" t="s">
        <v>139</v>
      </c>
      <c r="H66" s="128">
        <f>SUM(H67:H70)</f>
        <v>23114830</v>
      </c>
      <c r="J66" s="310"/>
      <c r="K66" s="115"/>
      <c r="L66" s="310"/>
    </row>
    <row r="67" spans="1:12" s="20" customFormat="1" ht="12.75">
      <c r="A67" s="53">
        <v>1</v>
      </c>
      <c r="B67" s="53">
        <v>3</v>
      </c>
      <c r="C67" s="53">
        <v>2</v>
      </c>
      <c r="D67" s="56" t="s">
        <v>76</v>
      </c>
      <c r="E67" s="56" t="s">
        <v>74</v>
      </c>
      <c r="F67" s="53"/>
      <c r="G67" s="54" t="s">
        <v>140</v>
      </c>
      <c r="H67" s="129">
        <v>18569690</v>
      </c>
      <c r="J67" s="310"/>
      <c r="K67" s="115"/>
      <c r="L67" s="310"/>
    </row>
    <row r="68" spans="1:12" s="20" customFormat="1" ht="12.75">
      <c r="A68" s="53">
        <v>1</v>
      </c>
      <c r="B68" s="53">
        <v>3</v>
      </c>
      <c r="C68" s="53">
        <v>2</v>
      </c>
      <c r="D68" s="56" t="s">
        <v>76</v>
      </c>
      <c r="E68" s="56" t="s">
        <v>76</v>
      </c>
      <c r="F68" s="53"/>
      <c r="G68" s="54" t="s">
        <v>141</v>
      </c>
      <c r="H68" s="129">
        <v>4005710</v>
      </c>
      <c r="J68" s="310"/>
      <c r="K68" s="115"/>
      <c r="L68" s="310"/>
    </row>
    <row r="69" spans="1:12" s="20" customFormat="1" ht="12.75">
      <c r="A69" s="53">
        <v>1</v>
      </c>
      <c r="B69" s="53">
        <v>3</v>
      </c>
      <c r="C69" s="53">
        <v>2</v>
      </c>
      <c r="D69" s="56" t="s">
        <v>76</v>
      </c>
      <c r="E69" s="56" t="s">
        <v>77</v>
      </c>
      <c r="F69" s="53"/>
      <c r="G69" s="54" t="s">
        <v>145</v>
      </c>
      <c r="H69" s="129">
        <v>479790</v>
      </c>
      <c r="J69" s="310"/>
      <c r="K69" s="115"/>
      <c r="L69" s="310"/>
    </row>
    <row r="70" spans="1:12" s="20" customFormat="1" ht="12.75">
      <c r="A70" s="53">
        <v>1</v>
      </c>
      <c r="B70" s="53">
        <v>3</v>
      </c>
      <c r="C70" s="53">
        <v>2</v>
      </c>
      <c r="D70" s="56" t="s">
        <v>76</v>
      </c>
      <c r="E70" s="56" t="s">
        <v>78</v>
      </c>
      <c r="F70" s="53"/>
      <c r="G70" s="54" t="s">
        <v>146</v>
      </c>
      <c r="H70" s="129">
        <v>59640</v>
      </c>
      <c r="J70" s="310"/>
      <c r="K70" s="115"/>
      <c r="L70" s="310"/>
    </row>
    <row r="71" spans="1:12" s="20" customFormat="1" ht="12.75">
      <c r="A71" s="53">
        <v>1</v>
      </c>
      <c r="B71" s="53">
        <v>3</v>
      </c>
      <c r="C71" s="53">
        <v>2</v>
      </c>
      <c r="D71" s="56" t="s">
        <v>77</v>
      </c>
      <c r="E71" s="56"/>
      <c r="F71" s="53"/>
      <c r="G71" s="57" t="s">
        <v>142</v>
      </c>
      <c r="H71" s="128">
        <f>SUM(H72:H73)</f>
        <v>1522140</v>
      </c>
      <c r="J71" s="310"/>
      <c r="K71" s="115"/>
      <c r="L71" s="310"/>
    </row>
    <row r="72" spans="1:12" s="20" customFormat="1" ht="12.75">
      <c r="A72" s="53">
        <v>1</v>
      </c>
      <c r="B72" s="53">
        <v>3</v>
      </c>
      <c r="C72" s="53">
        <v>2</v>
      </c>
      <c r="D72" s="56" t="s">
        <v>77</v>
      </c>
      <c r="E72" s="56" t="s">
        <v>74</v>
      </c>
      <c r="F72" s="53"/>
      <c r="G72" s="54" t="s">
        <v>143</v>
      </c>
      <c r="H72" s="129">
        <v>1263220</v>
      </c>
      <c r="J72" s="310"/>
      <c r="K72" s="115"/>
      <c r="L72" s="310"/>
    </row>
    <row r="73" spans="1:12" s="20" customFormat="1" ht="12.75">
      <c r="A73" s="53">
        <v>1</v>
      </c>
      <c r="B73" s="53">
        <v>3</v>
      </c>
      <c r="C73" s="53">
        <v>2</v>
      </c>
      <c r="D73" s="56" t="s">
        <v>77</v>
      </c>
      <c r="E73" s="56" t="s">
        <v>76</v>
      </c>
      <c r="F73" s="53"/>
      <c r="G73" s="54" t="s">
        <v>144</v>
      </c>
      <c r="H73" s="129">
        <v>258920</v>
      </c>
      <c r="J73" s="310"/>
      <c r="K73" s="115"/>
      <c r="L73" s="310"/>
    </row>
    <row r="74" spans="1:12" s="20" customFormat="1" ht="12.75">
      <c r="A74" s="53">
        <v>1</v>
      </c>
      <c r="B74" s="53">
        <v>3</v>
      </c>
      <c r="C74" s="53">
        <v>2</v>
      </c>
      <c r="D74" s="56" t="s">
        <v>78</v>
      </c>
      <c r="E74" s="56"/>
      <c r="F74" s="53"/>
      <c r="G74" s="57" t="s">
        <v>147</v>
      </c>
      <c r="H74" s="128">
        <v>2980120</v>
      </c>
      <c r="J74" s="310"/>
      <c r="K74" s="115"/>
      <c r="L74" s="310"/>
    </row>
    <row r="75" spans="1:12" s="20" customFormat="1" ht="12.75">
      <c r="A75" s="53">
        <v>1</v>
      </c>
      <c r="B75" s="53">
        <v>3</v>
      </c>
      <c r="C75" s="53">
        <v>2</v>
      </c>
      <c r="D75" s="56" t="s">
        <v>79</v>
      </c>
      <c r="E75" s="56"/>
      <c r="F75" s="53"/>
      <c r="G75" s="57" t="s">
        <v>148</v>
      </c>
      <c r="H75" s="128">
        <v>2464030</v>
      </c>
      <c r="J75" s="310"/>
      <c r="K75" s="115"/>
      <c r="L75" s="310"/>
    </row>
    <row r="76" spans="1:12" s="20" customFormat="1" ht="12.75">
      <c r="A76" s="53">
        <v>1</v>
      </c>
      <c r="B76" s="53">
        <v>3</v>
      </c>
      <c r="C76" s="53">
        <v>2</v>
      </c>
      <c r="D76" s="56" t="s">
        <v>93</v>
      </c>
      <c r="E76" s="56"/>
      <c r="F76" s="53"/>
      <c r="G76" s="57" t="s">
        <v>149</v>
      </c>
      <c r="H76" s="128">
        <v>110410</v>
      </c>
      <c r="J76" s="310"/>
      <c r="K76" s="115"/>
      <c r="L76" s="310"/>
    </row>
    <row r="77" spans="1:12" s="20" customFormat="1" ht="12.75">
      <c r="A77" s="53">
        <v>1</v>
      </c>
      <c r="B77" s="53">
        <v>3</v>
      </c>
      <c r="C77" s="53">
        <v>2</v>
      </c>
      <c r="D77" s="56" t="s">
        <v>94</v>
      </c>
      <c r="E77" s="56"/>
      <c r="F77" s="53"/>
      <c r="G77" s="57" t="s">
        <v>150</v>
      </c>
      <c r="H77" s="128">
        <v>0</v>
      </c>
      <c r="J77" s="310"/>
      <c r="K77" s="115"/>
      <c r="L77" s="310"/>
    </row>
    <row r="78" spans="1:12" s="20" customFormat="1" ht="12.75">
      <c r="A78" s="53">
        <v>1</v>
      </c>
      <c r="B78" s="53">
        <v>3</v>
      </c>
      <c r="C78" s="53">
        <v>2</v>
      </c>
      <c r="D78" s="56" t="s">
        <v>151</v>
      </c>
      <c r="E78" s="56"/>
      <c r="F78" s="53"/>
      <c r="G78" s="57" t="s">
        <v>152</v>
      </c>
      <c r="H78" s="128">
        <f>SUM(H79)</f>
        <v>181690</v>
      </c>
      <c r="J78" s="310"/>
      <c r="K78" s="115"/>
      <c r="L78" s="310"/>
    </row>
    <row r="79" spans="1:12" s="20" customFormat="1" ht="12.75">
      <c r="A79" s="53">
        <v>1</v>
      </c>
      <c r="B79" s="53">
        <v>3</v>
      </c>
      <c r="C79" s="53">
        <v>2</v>
      </c>
      <c r="D79" s="56" t="s">
        <v>151</v>
      </c>
      <c r="E79" s="56" t="s">
        <v>74</v>
      </c>
      <c r="F79" s="53"/>
      <c r="G79" s="54" t="s">
        <v>154</v>
      </c>
      <c r="H79" s="129">
        <v>181690</v>
      </c>
      <c r="J79" s="310"/>
      <c r="K79" s="115"/>
      <c r="L79" s="310"/>
    </row>
    <row r="80" spans="1:12" s="20" customFormat="1" ht="12.75">
      <c r="A80" s="53">
        <v>1</v>
      </c>
      <c r="B80" s="53">
        <v>3</v>
      </c>
      <c r="C80" s="53">
        <v>2</v>
      </c>
      <c r="D80" s="56" t="s">
        <v>155</v>
      </c>
      <c r="E80" s="56"/>
      <c r="F80" s="53"/>
      <c r="G80" s="57" t="s">
        <v>156</v>
      </c>
      <c r="H80" s="128">
        <v>46650</v>
      </c>
      <c r="J80" s="310"/>
      <c r="K80" s="115"/>
      <c r="L80" s="310"/>
    </row>
    <row r="81" spans="1:12" s="20" customFormat="1" ht="12.75">
      <c r="A81" s="53">
        <v>1</v>
      </c>
      <c r="B81" s="53">
        <v>3</v>
      </c>
      <c r="C81" s="53">
        <v>2</v>
      </c>
      <c r="D81" s="56" t="s">
        <v>157</v>
      </c>
      <c r="E81" s="56"/>
      <c r="F81" s="53"/>
      <c r="G81" s="57" t="s">
        <v>158</v>
      </c>
      <c r="H81" s="128">
        <v>1595610</v>
      </c>
      <c r="J81" s="310"/>
      <c r="K81" s="115"/>
      <c r="L81" s="310"/>
    </row>
    <row r="82" spans="1:12" s="20" customFormat="1" ht="12.75">
      <c r="A82" s="53">
        <v>1</v>
      </c>
      <c r="B82" s="53">
        <v>3</v>
      </c>
      <c r="C82" s="53">
        <v>2</v>
      </c>
      <c r="D82" s="56" t="s">
        <v>159</v>
      </c>
      <c r="E82" s="56"/>
      <c r="F82" s="53"/>
      <c r="G82" s="57" t="s">
        <v>160</v>
      </c>
      <c r="H82" s="128">
        <v>3515750</v>
      </c>
      <c r="J82" s="310"/>
      <c r="K82" s="115"/>
      <c r="L82" s="310"/>
    </row>
    <row r="83" spans="1:12" s="20" customFormat="1" ht="12.75">
      <c r="A83" s="53">
        <v>1</v>
      </c>
      <c r="B83" s="53">
        <v>3</v>
      </c>
      <c r="C83" s="53">
        <v>2</v>
      </c>
      <c r="D83" s="56" t="s">
        <v>305</v>
      </c>
      <c r="E83" s="56"/>
      <c r="F83" s="53"/>
      <c r="G83" s="57" t="s">
        <v>777</v>
      </c>
      <c r="H83" s="128">
        <v>174770</v>
      </c>
      <c r="J83" s="310"/>
      <c r="K83" s="115"/>
      <c r="L83" s="310"/>
    </row>
    <row r="84" spans="1:12" s="20" customFormat="1" ht="12.75">
      <c r="A84" s="53">
        <v>1</v>
      </c>
      <c r="B84" s="53">
        <v>3</v>
      </c>
      <c r="C84" s="53">
        <v>2</v>
      </c>
      <c r="D84" s="56" t="s">
        <v>216</v>
      </c>
      <c r="E84" s="56"/>
      <c r="F84" s="53"/>
      <c r="G84" s="57" t="s">
        <v>778</v>
      </c>
      <c r="H84" s="128">
        <v>12930</v>
      </c>
      <c r="J84" s="310"/>
      <c r="K84" s="115"/>
      <c r="L84" s="310"/>
    </row>
    <row r="85" spans="1:12" s="20" customFormat="1" ht="12.75">
      <c r="A85" s="53">
        <v>1</v>
      </c>
      <c r="B85" s="53">
        <v>3</v>
      </c>
      <c r="C85" s="53">
        <v>3</v>
      </c>
      <c r="D85" s="56"/>
      <c r="E85" s="56"/>
      <c r="F85" s="56"/>
      <c r="G85" s="58" t="s">
        <v>161</v>
      </c>
      <c r="H85" s="127">
        <f>+H86+H90+H93+H94+H99+H105+H108+H111+H113</f>
        <v>21026300</v>
      </c>
      <c r="J85" s="310"/>
      <c r="K85" s="115"/>
      <c r="L85" s="310"/>
    </row>
    <row r="86" spans="1:12" s="20" customFormat="1" ht="12.75">
      <c r="A86" s="53">
        <v>1</v>
      </c>
      <c r="B86" s="53">
        <v>3</v>
      </c>
      <c r="C86" s="53">
        <v>3</v>
      </c>
      <c r="D86" s="56" t="s">
        <v>74</v>
      </c>
      <c r="E86" s="56"/>
      <c r="F86" s="56"/>
      <c r="G86" s="57" t="s">
        <v>162</v>
      </c>
      <c r="H86" s="128">
        <f>SUM(H87:H89)</f>
        <v>819440</v>
      </c>
      <c r="J86" s="310"/>
      <c r="K86" s="115"/>
      <c r="L86" s="310"/>
    </row>
    <row r="87" spans="1:12" s="20" customFormat="1" ht="12.75">
      <c r="A87" s="53">
        <v>1</v>
      </c>
      <c r="B87" s="53">
        <v>3</v>
      </c>
      <c r="C87" s="53">
        <v>3</v>
      </c>
      <c r="D87" s="56" t="s">
        <v>74</v>
      </c>
      <c r="E87" s="56" t="s">
        <v>74</v>
      </c>
      <c r="F87" s="53"/>
      <c r="G87" s="54" t="s">
        <v>163</v>
      </c>
      <c r="H87" s="129">
        <v>745360</v>
      </c>
      <c r="J87" s="310"/>
      <c r="K87" s="115"/>
      <c r="L87" s="310"/>
    </row>
    <row r="88" spans="1:12" s="20" customFormat="1" ht="12.75">
      <c r="A88" s="53">
        <v>1</v>
      </c>
      <c r="B88" s="53">
        <v>3</v>
      </c>
      <c r="C88" s="53">
        <v>3</v>
      </c>
      <c r="D88" s="56" t="s">
        <v>74</v>
      </c>
      <c r="E88" s="56" t="s">
        <v>76</v>
      </c>
      <c r="F88" s="53"/>
      <c r="G88" s="54" t="s">
        <v>164</v>
      </c>
      <c r="H88" s="129">
        <v>59780</v>
      </c>
      <c r="J88" s="310"/>
      <c r="K88" s="115"/>
      <c r="L88" s="310"/>
    </row>
    <row r="89" spans="1:12" s="20" customFormat="1" ht="12.75">
      <c r="A89" s="53">
        <v>1</v>
      </c>
      <c r="B89" s="53">
        <v>3</v>
      </c>
      <c r="C89" s="53">
        <v>3</v>
      </c>
      <c r="D89" s="56" t="s">
        <v>74</v>
      </c>
      <c r="E89" s="56" t="s">
        <v>77</v>
      </c>
      <c r="F89" s="53"/>
      <c r="G89" s="54" t="s">
        <v>165</v>
      </c>
      <c r="H89" s="129">
        <v>14300</v>
      </c>
      <c r="J89" s="310"/>
      <c r="K89" s="115"/>
      <c r="L89" s="310"/>
    </row>
    <row r="90" spans="1:12" s="20" customFormat="1" ht="12.75">
      <c r="A90" s="53">
        <v>1</v>
      </c>
      <c r="B90" s="53">
        <v>3</v>
      </c>
      <c r="C90" s="53">
        <v>3</v>
      </c>
      <c r="D90" s="56" t="s">
        <v>76</v>
      </c>
      <c r="E90" s="56"/>
      <c r="F90" s="56"/>
      <c r="G90" s="57" t="s">
        <v>166</v>
      </c>
      <c r="H90" s="128">
        <f>SUM(H91:H92)</f>
        <v>4331530</v>
      </c>
      <c r="J90" s="310"/>
      <c r="K90" s="115"/>
      <c r="L90" s="310"/>
    </row>
    <row r="91" spans="1:12" s="20" customFormat="1" ht="12.75">
      <c r="A91" s="53">
        <v>1</v>
      </c>
      <c r="B91" s="53">
        <v>3</v>
      </c>
      <c r="C91" s="53">
        <v>3</v>
      </c>
      <c r="D91" s="56" t="s">
        <v>76</v>
      </c>
      <c r="E91" s="56" t="s">
        <v>74</v>
      </c>
      <c r="F91" s="53"/>
      <c r="G91" s="54" t="s">
        <v>167</v>
      </c>
      <c r="H91" s="129">
        <v>3464510</v>
      </c>
      <c r="J91" s="310"/>
      <c r="K91" s="115"/>
      <c r="L91" s="310"/>
    </row>
    <row r="92" spans="1:12" s="20" customFormat="1" ht="12.75">
      <c r="A92" s="53">
        <v>1</v>
      </c>
      <c r="B92" s="53">
        <v>3</v>
      </c>
      <c r="C92" s="53">
        <v>3</v>
      </c>
      <c r="D92" s="56" t="s">
        <v>76</v>
      </c>
      <c r="E92" s="56" t="s">
        <v>76</v>
      </c>
      <c r="F92" s="53"/>
      <c r="G92" s="54" t="s">
        <v>168</v>
      </c>
      <c r="H92" s="129">
        <v>867020</v>
      </c>
      <c r="J92" s="310"/>
      <c r="K92" s="115"/>
      <c r="L92" s="310"/>
    </row>
    <row r="93" spans="1:12" s="20" customFormat="1" ht="12.75">
      <c r="A93" s="53">
        <v>1</v>
      </c>
      <c r="B93" s="53">
        <v>3</v>
      </c>
      <c r="C93" s="53">
        <v>3</v>
      </c>
      <c r="D93" s="56" t="s">
        <v>78</v>
      </c>
      <c r="E93" s="56"/>
      <c r="F93" s="53"/>
      <c r="G93" s="57" t="s">
        <v>169</v>
      </c>
      <c r="H93" s="128">
        <v>0</v>
      </c>
      <c r="J93" s="310"/>
      <c r="K93" s="115"/>
      <c r="L93" s="310"/>
    </row>
    <row r="94" spans="1:12" s="20" customFormat="1" ht="12.75">
      <c r="A94" s="53">
        <v>1</v>
      </c>
      <c r="B94" s="53">
        <v>3</v>
      </c>
      <c r="C94" s="53">
        <v>3</v>
      </c>
      <c r="D94" s="56" t="s">
        <v>81</v>
      </c>
      <c r="E94" s="56"/>
      <c r="F94" s="53"/>
      <c r="G94" s="57" t="s">
        <v>170</v>
      </c>
      <c r="H94" s="128">
        <f>SUM(H95:H98)</f>
        <v>54500</v>
      </c>
      <c r="J94" s="310"/>
      <c r="K94" s="115"/>
      <c r="L94" s="310"/>
    </row>
    <row r="95" spans="1:12" s="20" customFormat="1" ht="12.75">
      <c r="A95" s="53">
        <v>1</v>
      </c>
      <c r="B95" s="53">
        <v>3</v>
      </c>
      <c r="C95" s="53">
        <v>3</v>
      </c>
      <c r="D95" s="56" t="s">
        <v>81</v>
      </c>
      <c r="E95" s="56" t="s">
        <v>76</v>
      </c>
      <c r="F95" s="53"/>
      <c r="G95" s="54" t="s">
        <v>171</v>
      </c>
      <c r="H95" s="129">
        <v>25340</v>
      </c>
      <c r="J95" s="310"/>
      <c r="K95" s="115"/>
      <c r="L95" s="310"/>
    </row>
    <row r="96" spans="1:12" s="20" customFormat="1" ht="12.75">
      <c r="A96" s="53">
        <v>1</v>
      </c>
      <c r="B96" s="53">
        <v>3</v>
      </c>
      <c r="C96" s="53">
        <v>3</v>
      </c>
      <c r="D96" s="56" t="s">
        <v>81</v>
      </c>
      <c r="E96" s="56" t="s">
        <v>77</v>
      </c>
      <c r="F96" s="53"/>
      <c r="G96" s="54" t="s">
        <v>172</v>
      </c>
      <c r="H96" s="129">
        <v>530</v>
      </c>
      <c r="J96" s="310"/>
      <c r="K96" s="115"/>
      <c r="L96" s="310"/>
    </row>
    <row r="97" spans="1:12" s="20" customFormat="1" ht="12.75">
      <c r="A97" s="53">
        <v>1</v>
      </c>
      <c r="B97" s="53">
        <v>3</v>
      </c>
      <c r="C97" s="53">
        <v>3</v>
      </c>
      <c r="D97" s="56" t="s">
        <v>81</v>
      </c>
      <c r="E97" s="56" t="s">
        <v>78</v>
      </c>
      <c r="F97" s="53"/>
      <c r="G97" s="54" t="s">
        <v>173</v>
      </c>
      <c r="H97" s="129">
        <v>0</v>
      </c>
      <c r="J97" s="310"/>
      <c r="K97" s="115"/>
      <c r="L97" s="310"/>
    </row>
    <row r="98" spans="1:12" s="20" customFormat="1" ht="12.75">
      <c r="A98" s="53">
        <v>1</v>
      </c>
      <c r="B98" s="53">
        <v>3</v>
      </c>
      <c r="C98" s="53">
        <v>3</v>
      </c>
      <c r="D98" s="56" t="s">
        <v>81</v>
      </c>
      <c r="E98" s="56" t="s">
        <v>79</v>
      </c>
      <c r="F98" s="53"/>
      <c r="G98" s="54" t="s">
        <v>174</v>
      </c>
      <c r="H98" s="129">
        <v>28630</v>
      </c>
      <c r="J98" s="310"/>
      <c r="K98" s="115"/>
      <c r="L98" s="310"/>
    </row>
    <row r="99" spans="1:12" s="20" customFormat="1" ht="12.75">
      <c r="A99" s="53">
        <v>1</v>
      </c>
      <c r="B99" s="53">
        <v>3</v>
      </c>
      <c r="C99" s="53">
        <v>3</v>
      </c>
      <c r="D99" s="56" t="s">
        <v>82</v>
      </c>
      <c r="E99" s="56"/>
      <c r="F99" s="53"/>
      <c r="G99" s="57" t="s">
        <v>175</v>
      </c>
      <c r="H99" s="128">
        <f>SUM(H100:H104)</f>
        <v>5759170</v>
      </c>
      <c r="J99" s="310"/>
      <c r="K99" s="115"/>
      <c r="L99" s="310"/>
    </row>
    <row r="100" spans="1:12" s="20" customFormat="1" ht="12.75">
      <c r="A100" s="53">
        <v>1</v>
      </c>
      <c r="B100" s="53">
        <v>3</v>
      </c>
      <c r="C100" s="53">
        <v>3</v>
      </c>
      <c r="D100" s="56" t="s">
        <v>82</v>
      </c>
      <c r="E100" s="56" t="s">
        <v>74</v>
      </c>
      <c r="F100" s="53"/>
      <c r="G100" s="54" t="s">
        <v>176</v>
      </c>
      <c r="H100" s="129">
        <v>1702240</v>
      </c>
      <c r="J100" s="310"/>
      <c r="K100" s="115"/>
      <c r="L100" s="310"/>
    </row>
    <row r="101" spans="1:12" s="20" customFormat="1" ht="12.75">
      <c r="A101" s="53">
        <v>1</v>
      </c>
      <c r="B101" s="53">
        <v>3</v>
      </c>
      <c r="C101" s="53">
        <v>3</v>
      </c>
      <c r="D101" s="56" t="s">
        <v>82</v>
      </c>
      <c r="E101" s="56" t="s">
        <v>76</v>
      </c>
      <c r="F101" s="53"/>
      <c r="G101" s="54" t="s">
        <v>177</v>
      </c>
      <c r="H101" s="129">
        <v>3515830</v>
      </c>
      <c r="J101" s="310"/>
      <c r="K101" s="115"/>
      <c r="L101" s="310"/>
    </row>
    <row r="102" spans="1:12" s="20" customFormat="1" ht="12.75">
      <c r="A102" s="53">
        <v>1</v>
      </c>
      <c r="B102" s="53">
        <v>3</v>
      </c>
      <c r="C102" s="53">
        <v>3</v>
      </c>
      <c r="D102" s="56" t="s">
        <v>82</v>
      </c>
      <c r="E102" s="56" t="s">
        <v>77</v>
      </c>
      <c r="F102" s="53"/>
      <c r="G102" s="54" t="s">
        <v>178</v>
      </c>
      <c r="H102" s="129">
        <v>23280</v>
      </c>
      <c r="J102" s="310"/>
      <c r="K102" s="115"/>
      <c r="L102" s="310"/>
    </row>
    <row r="103" spans="1:12" s="20" customFormat="1" ht="12.75">
      <c r="A103" s="53">
        <v>1</v>
      </c>
      <c r="B103" s="53">
        <v>3</v>
      </c>
      <c r="C103" s="53">
        <v>3</v>
      </c>
      <c r="D103" s="56" t="s">
        <v>82</v>
      </c>
      <c r="E103" s="56" t="s">
        <v>79</v>
      </c>
      <c r="F103" s="53"/>
      <c r="G103" s="54" t="s">
        <v>180</v>
      </c>
      <c r="H103" s="129">
        <v>355090</v>
      </c>
      <c r="J103" s="310"/>
      <c r="K103" s="115"/>
      <c r="L103" s="310"/>
    </row>
    <row r="104" spans="1:12" s="20" customFormat="1" ht="12.75">
      <c r="A104" s="53">
        <v>1</v>
      </c>
      <c r="B104" s="53">
        <v>3</v>
      </c>
      <c r="C104" s="53">
        <v>3</v>
      </c>
      <c r="D104" s="56" t="s">
        <v>82</v>
      </c>
      <c r="E104" s="56" t="s">
        <v>80</v>
      </c>
      <c r="F104" s="53"/>
      <c r="G104" s="54" t="s">
        <v>179</v>
      </c>
      <c r="H104" s="129">
        <v>162730</v>
      </c>
      <c r="J104" s="310"/>
      <c r="K104" s="115"/>
      <c r="L104" s="310"/>
    </row>
    <row r="105" spans="1:12" s="20" customFormat="1" ht="12.75">
      <c r="A105" s="53">
        <v>1</v>
      </c>
      <c r="B105" s="53">
        <v>3</v>
      </c>
      <c r="C105" s="53">
        <v>3</v>
      </c>
      <c r="D105" s="56" t="s">
        <v>93</v>
      </c>
      <c r="E105" s="56" t="s">
        <v>74</v>
      </c>
      <c r="F105" s="53"/>
      <c r="G105" s="57" t="s">
        <v>181</v>
      </c>
      <c r="H105" s="128">
        <f>+H106+H107</f>
        <v>1508710</v>
      </c>
      <c r="J105" s="310"/>
      <c r="K105" s="115"/>
      <c r="L105" s="310"/>
    </row>
    <row r="106" spans="1:12" s="20" customFormat="1" ht="12.75">
      <c r="A106" s="53">
        <v>1</v>
      </c>
      <c r="B106" s="53">
        <v>3</v>
      </c>
      <c r="C106" s="53">
        <v>3</v>
      </c>
      <c r="D106" s="56" t="s">
        <v>93</v>
      </c>
      <c r="E106" s="56" t="s">
        <v>74</v>
      </c>
      <c r="F106" s="53"/>
      <c r="G106" s="54" t="s">
        <v>181</v>
      </c>
      <c r="H106" s="129">
        <v>1500590</v>
      </c>
      <c r="J106" s="310"/>
      <c r="K106" s="115"/>
      <c r="L106" s="310"/>
    </row>
    <row r="107" spans="1:12" s="20" customFormat="1" ht="12.75">
      <c r="A107" s="53">
        <v>1</v>
      </c>
      <c r="B107" s="53">
        <v>3</v>
      </c>
      <c r="C107" s="53">
        <v>3</v>
      </c>
      <c r="D107" s="56" t="s">
        <v>93</v>
      </c>
      <c r="E107" s="56" t="s">
        <v>76</v>
      </c>
      <c r="F107" s="53"/>
      <c r="G107" s="54" t="s">
        <v>781</v>
      </c>
      <c r="H107" s="129">
        <v>8120</v>
      </c>
      <c r="J107" s="310"/>
      <c r="K107" s="115"/>
      <c r="L107" s="310"/>
    </row>
    <row r="108" spans="1:12" s="20" customFormat="1" ht="12.75">
      <c r="A108" s="53">
        <v>1</v>
      </c>
      <c r="B108" s="53">
        <v>3</v>
      </c>
      <c r="C108" s="53">
        <v>3</v>
      </c>
      <c r="D108" s="56" t="s">
        <v>94</v>
      </c>
      <c r="E108" s="56"/>
      <c r="F108" s="53"/>
      <c r="G108" s="57" t="s">
        <v>182</v>
      </c>
      <c r="H108" s="128">
        <f>+H109</f>
        <v>385450</v>
      </c>
      <c r="J108" s="310"/>
      <c r="K108" s="115"/>
      <c r="L108" s="310"/>
    </row>
    <row r="109" spans="1:12" s="20" customFormat="1" ht="12.75">
      <c r="A109" s="53">
        <v>1</v>
      </c>
      <c r="B109" s="53">
        <v>3</v>
      </c>
      <c r="C109" s="53">
        <v>3</v>
      </c>
      <c r="D109" s="56" t="s">
        <v>94</v>
      </c>
      <c r="E109" s="56" t="s">
        <v>76</v>
      </c>
      <c r="F109" s="53"/>
      <c r="G109" s="54" t="s">
        <v>183</v>
      </c>
      <c r="H109" s="129">
        <v>385450</v>
      </c>
      <c r="J109" s="310"/>
      <c r="K109" s="115"/>
      <c r="L109" s="310"/>
    </row>
    <row r="110" spans="1:12" s="20" customFormat="1" ht="12.75">
      <c r="A110" s="53">
        <v>1</v>
      </c>
      <c r="B110" s="53">
        <v>3</v>
      </c>
      <c r="C110" s="53">
        <v>3</v>
      </c>
      <c r="D110" s="56" t="s">
        <v>94</v>
      </c>
      <c r="E110" s="56" t="s">
        <v>78</v>
      </c>
      <c r="F110" s="53"/>
      <c r="G110" s="54" t="s">
        <v>184</v>
      </c>
      <c r="H110" s="129">
        <v>0</v>
      </c>
      <c r="J110" s="310"/>
      <c r="K110" s="115"/>
      <c r="L110" s="310"/>
    </row>
    <row r="111" spans="1:12" s="20" customFormat="1" ht="12.75">
      <c r="A111" s="53">
        <v>1</v>
      </c>
      <c r="B111" s="53">
        <v>3</v>
      </c>
      <c r="C111" s="53">
        <v>3</v>
      </c>
      <c r="D111" s="56" t="s">
        <v>151</v>
      </c>
      <c r="E111" s="56"/>
      <c r="F111" s="53"/>
      <c r="G111" s="57" t="s">
        <v>185</v>
      </c>
      <c r="H111" s="128">
        <f>+H112</f>
        <v>0</v>
      </c>
      <c r="J111" s="310"/>
      <c r="K111" s="115"/>
      <c r="L111" s="310"/>
    </row>
    <row r="112" spans="1:12" s="20" customFormat="1" ht="12.75">
      <c r="A112" s="53">
        <v>1</v>
      </c>
      <c r="B112" s="53">
        <v>3</v>
      </c>
      <c r="C112" s="53">
        <v>3</v>
      </c>
      <c r="D112" s="56" t="s">
        <v>151</v>
      </c>
      <c r="E112" s="56" t="s">
        <v>74</v>
      </c>
      <c r="F112" s="53"/>
      <c r="G112" s="54" t="s">
        <v>186</v>
      </c>
      <c r="H112" s="129">
        <v>0</v>
      </c>
      <c r="J112" s="310"/>
      <c r="K112" s="115"/>
      <c r="L112" s="310"/>
    </row>
    <row r="113" spans="1:13" s="20" customFormat="1" ht="12.75">
      <c r="A113" s="53">
        <v>1</v>
      </c>
      <c r="B113" s="53">
        <v>3</v>
      </c>
      <c r="C113" s="53">
        <v>3</v>
      </c>
      <c r="D113" s="56" t="s">
        <v>153</v>
      </c>
      <c r="E113" s="56"/>
      <c r="F113" s="53"/>
      <c r="G113" s="57" t="s">
        <v>187</v>
      </c>
      <c r="H113" s="128">
        <f>SUM(H114:H118)</f>
        <v>8167500</v>
      </c>
      <c r="J113" s="310"/>
      <c r="K113" s="115"/>
      <c r="L113" s="310"/>
    </row>
    <row r="114" spans="1:13" s="20" customFormat="1" ht="12.75">
      <c r="A114" s="53">
        <v>1</v>
      </c>
      <c r="B114" s="53">
        <v>3</v>
      </c>
      <c r="C114" s="53">
        <v>3</v>
      </c>
      <c r="D114" s="56" t="s">
        <v>153</v>
      </c>
      <c r="E114" s="56" t="s">
        <v>74</v>
      </c>
      <c r="F114" s="53"/>
      <c r="G114" s="54" t="s">
        <v>188</v>
      </c>
      <c r="H114" s="129">
        <v>8070670</v>
      </c>
      <c r="J114" s="310"/>
      <c r="K114" s="115"/>
      <c r="L114" s="310"/>
    </row>
    <row r="115" spans="1:13" s="20" customFormat="1" ht="12.75">
      <c r="A115" s="53">
        <v>1</v>
      </c>
      <c r="B115" s="53">
        <v>3</v>
      </c>
      <c r="C115" s="53">
        <v>3</v>
      </c>
      <c r="D115" s="56" t="s">
        <v>153</v>
      </c>
      <c r="E115" s="56" t="s">
        <v>79</v>
      </c>
      <c r="F115" s="53"/>
      <c r="G115" s="54" t="s">
        <v>189</v>
      </c>
      <c r="H115" s="129">
        <v>96830</v>
      </c>
      <c r="J115" s="310"/>
      <c r="K115" s="115"/>
      <c r="L115" s="310"/>
    </row>
    <row r="116" spans="1:13" s="20" customFormat="1" ht="12.75">
      <c r="A116" s="53">
        <v>1</v>
      </c>
      <c r="B116" s="53">
        <v>3</v>
      </c>
      <c r="C116" s="53">
        <v>3</v>
      </c>
      <c r="D116" s="56" t="s">
        <v>153</v>
      </c>
      <c r="E116" s="56" t="s">
        <v>80</v>
      </c>
      <c r="F116" s="53"/>
      <c r="G116" s="54" t="s">
        <v>190</v>
      </c>
      <c r="H116" s="129">
        <v>0</v>
      </c>
      <c r="J116" s="310"/>
      <c r="K116" s="115"/>
      <c r="L116" s="310"/>
    </row>
    <row r="117" spans="1:13" s="20" customFormat="1" ht="12.75">
      <c r="A117" s="53">
        <v>1</v>
      </c>
      <c r="B117" s="53">
        <v>3</v>
      </c>
      <c r="C117" s="53">
        <v>3</v>
      </c>
      <c r="D117" s="56" t="s">
        <v>153</v>
      </c>
      <c r="E117" s="56" t="s">
        <v>151</v>
      </c>
      <c r="F117" s="53"/>
      <c r="G117" s="54" t="s">
        <v>191</v>
      </c>
      <c r="H117" s="129">
        <v>0</v>
      </c>
      <c r="J117" s="310"/>
      <c r="K117" s="115"/>
      <c r="L117" s="310"/>
    </row>
    <row r="118" spans="1:13" s="20" customFormat="1" ht="12.75">
      <c r="A118" s="53">
        <v>1</v>
      </c>
      <c r="B118" s="53">
        <v>3</v>
      </c>
      <c r="C118" s="53">
        <v>3</v>
      </c>
      <c r="D118" s="56" t="s">
        <v>153</v>
      </c>
      <c r="E118" s="56" t="s">
        <v>157</v>
      </c>
      <c r="F118" s="53"/>
      <c r="G118" s="54" t="s">
        <v>192</v>
      </c>
      <c r="H118" s="129">
        <v>0</v>
      </c>
      <c r="J118" s="310"/>
      <c r="K118" s="115"/>
      <c r="L118" s="310"/>
    </row>
    <row r="119" spans="1:13" s="20" customFormat="1" ht="12.75">
      <c r="H119" s="115"/>
      <c r="J119" s="310"/>
      <c r="K119" s="115"/>
      <c r="L119" s="310"/>
    </row>
    <row r="120" spans="1:13">
      <c r="A120" s="392" t="s">
        <v>69</v>
      </c>
      <c r="B120" s="392"/>
      <c r="C120" s="392"/>
      <c r="D120" s="392"/>
      <c r="E120" s="392"/>
      <c r="F120" s="392"/>
      <c r="G120" s="393" t="s">
        <v>70</v>
      </c>
      <c r="H120" s="126" t="s">
        <v>4</v>
      </c>
      <c r="K120" s="115"/>
      <c r="L120" s="310"/>
      <c r="M120" s="20"/>
    </row>
    <row r="121" spans="1:13">
      <c r="A121" s="51" t="s">
        <v>63</v>
      </c>
      <c r="B121" s="51" t="s">
        <v>64</v>
      </c>
      <c r="C121" s="51" t="s">
        <v>65</v>
      </c>
      <c r="D121" s="51" t="s">
        <v>66</v>
      </c>
      <c r="E121" s="51" t="s">
        <v>67</v>
      </c>
      <c r="F121" s="51" t="s">
        <v>68</v>
      </c>
      <c r="G121" s="394"/>
      <c r="H121" s="126" t="s">
        <v>71</v>
      </c>
      <c r="K121" s="115"/>
      <c r="L121" s="310"/>
      <c r="M121" s="20"/>
    </row>
    <row r="122" spans="1:13" s="20" customFormat="1" ht="12.75">
      <c r="A122" s="53">
        <v>1</v>
      </c>
      <c r="B122" s="53">
        <v>3</v>
      </c>
      <c r="C122" s="53">
        <v>3</v>
      </c>
      <c r="D122" s="56" t="s">
        <v>155</v>
      </c>
      <c r="E122" s="56"/>
      <c r="F122" s="53"/>
      <c r="G122" s="57" t="s">
        <v>193</v>
      </c>
      <c r="H122" s="128">
        <f>SUM(H123:H124)</f>
        <v>0</v>
      </c>
      <c r="J122" s="310"/>
      <c r="K122" s="115"/>
      <c r="L122" s="310"/>
    </row>
    <row r="123" spans="1:13" s="20" customFormat="1" ht="12.75">
      <c r="A123" s="53">
        <v>1</v>
      </c>
      <c r="B123" s="53">
        <v>3</v>
      </c>
      <c r="C123" s="53">
        <v>3</v>
      </c>
      <c r="D123" s="56" t="s">
        <v>155</v>
      </c>
      <c r="E123" s="56" t="s">
        <v>74</v>
      </c>
      <c r="F123" s="53"/>
      <c r="G123" s="54" t="s">
        <v>194</v>
      </c>
      <c r="H123" s="129">
        <v>0</v>
      </c>
      <c r="J123" s="310"/>
      <c r="K123" s="115"/>
      <c r="L123" s="310"/>
    </row>
    <row r="124" spans="1:13" s="20" customFormat="1" ht="12.75">
      <c r="A124" s="53">
        <v>1</v>
      </c>
      <c r="B124" s="53">
        <v>3</v>
      </c>
      <c r="C124" s="53">
        <v>3</v>
      </c>
      <c r="D124" s="56" t="s">
        <v>155</v>
      </c>
      <c r="E124" s="56" t="s">
        <v>77</v>
      </c>
      <c r="F124" s="53"/>
      <c r="G124" s="54" t="s">
        <v>195</v>
      </c>
      <c r="H124" s="129">
        <v>0</v>
      </c>
      <c r="J124" s="310"/>
      <c r="K124" s="115"/>
      <c r="L124" s="310"/>
    </row>
    <row r="125" spans="1:13" s="20" customFormat="1" ht="12.75">
      <c r="A125" s="53"/>
      <c r="B125" s="53"/>
      <c r="C125" s="53"/>
      <c r="D125" s="56"/>
      <c r="E125" s="56"/>
      <c r="F125" s="53"/>
      <c r="G125" s="59" t="s">
        <v>196</v>
      </c>
      <c r="H125" s="127">
        <f>+H12</f>
        <v>607465240</v>
      </c>
      <c r="J125" s="310"/>
      <c r="K125" s="115"/>
      <c r="L125" s="310"/>
    </row>
    <row r="126" spans="1:13" s="20" customFormat="1" ht="12.75">
      <c r="A126" s="53">
        <v>2</v>
      </c>
      <c r="B126" s="53"/>
      <c r="C126" s="53"/>
      <c r="D126" s="56"/>
      <c r="E126" s="56"/>
      <c r="F126" s="53"/>
      <c r="G126" s="58" t="s">
        <v>16</v>
      </c>
      <c r="H126" s="127">
        <f>+H127+H131+H143+H145++H146</f>
        <v>15317490</v>
      </c>
      <c r="J126" s="310"/>
      <c r="K126" s="115"/>
      <c r="L126" s="310"/>
    </row>
    <row r="127" spans="1:13" s="20" customFormat="1" ht="12.75">
      <c r="A127" s="53">
        <v>2</v>
      </c>
      <c r="B127" s="53">
        <v>1</v>
      </c>
      <c r="C127" s="53"/>
      <c r="D127" s="56"/>
      <c r="E127" s="56"/>
      <c r="F127" s="53"/>
      <c r="G127" s="58" t="s">
        <v>197</v>
      </c>
      <c r="H127" s="127">
        <f>SUM(H128:H130)</f>
        <v>0</v>
      </c>
      <c r="J127" s="310"/>
      <c r="K127" s="115"/>
      <c r="L127" s="310"/>
    </row>
    <row r="128" spans="1:13" s="20" customFormat="1" ht="12.75">
      <c r="A128" s="53">
        <v>2</v>
      </c>
      <c r="B128" s="53">
        <v>1</v>
      </c>
      <c r="C128" s="53">
        <v>1</v>
      </c>
      <c r="D128" s="56"/>
      <c r="E128" s="56"/>
      <c r="F128" s="53"/>
      <c r="G128" s="57" t="s">
        <v>198</v>
      </c>
      <c r="H128" s="128">
        <v>0</v>
      </c>
      <c r="J128" s="310"/>
      <c r="K128" s="115"/>
      <c r="L128" s="310"/>
    </row>
    <row r="129" spans="1:12" s="20" customFormat="1" ht="12.75">
      <c r="A129" s="53">
        <v>2</v>
      </c>
      <c r="B129" s="53">
        <v>1</v>
      </c>
      <c r="C129" s="53">
        <v>2</v>
      </c>
      <c r="D129" s="56"/>
      <c r="E129" s="56"/>
      <c r="F129" s="53"/>
      <c r="G129" s="57" t="s">
        <v>199</v>
      </c>
      <c r="H129" s="128">
        <v>0</v>
      </c>
      <c r="J129" s="310"/>
      <c r="K129" s="115"/>
      <c r="L129" s="310"/>
    </row>
    <row r="130" spans="1:12" s="20" customFormat="1" ht="12.75">
      <c r="A130" s="53">
        <v>2</v>
      </c>
      <c r="B130" s="53">
        <v>1</v>
      </c>
      <c r="C130" s="53">
        <v>3</v>
      </c>
      <c r="D130" s="56"/>
      <c r="E130" s="56"/>
      <c r="F130" s="53"/>
      <c r="G130" s="57" t="s">
        <v>200</v>
      </c>
      <c r="H130" s="128">
        <v>0</v>
      </c>
      <c r="J130" s="310"/>
      <c r="K130" s="115"/>
      <c r="L130" s="310"/>
    </row>
    <row r="131" spans="1:12" s="20" customFormat="1" ht="12.75">
      <c r="A131" s="53">
        <v>2</v>
      </c>
      <c r="B131" s="53">
        <v>2</v>
      </c>
      <c r="C131" s="53"/>
      <c r="D131" s="56"/>
      <c r="E131" s="56"/>
      <c r="F131" s="53"/>
      <c r="G131" s="58" t="s">
        <v>201</v>
      </c>
      <c r="H131" s="127">
        <f>+H132+H135+H136+H137+H138+H139+H141</f>
        <v>87950</v>
      </c>
      <c r="J131" s="310"/>
      <c r="K131" s="115"/>
      <c r="L131" s="310"/>
    </row>
    <row r="132" spans="1:12" s="20" customFormat="1" ht="12.75">
      <c r="A132" s="53">
        <v>2</v>
      </c>
      <c r="B132" s="53">
        <v>2</v>
      </c>
      <c r="C132" s="53">
        <v>1</v>
      </c>
      <c r="D132" s="56"/>
      <c r="E132" s="56"/>
      <c r="F132" s="53"/>
      <c r="G132" s="57" t="s">
        <v>202</v>
      </c>
      <c r="H132" s="128">
        <f>SUM(H133:H134)</f>
        <v>87950</v>
      </c>
      <c r="J132" s="310"/>
      <c r="K132" s="115"/>
      <c r="L132" s="310"/>
    </row>
    <row r="133" spans="1:12" s="20" customFormat="1" ht="12.75">
      <c r="A133" s="53">
        <v>2</v>
      </c>
      <c r="B133" s="53">
        <v>2</v>
      </c>
      <c r="C133" s="53">
        <v>1</v>
      </c>
      <c r="D133" s="56" t="s">
        <v>74</v>
      </c>
      <c r="E133" s="56"/>
      <c r="F133" s="53"/>
      <c r="G133" s="54" t="s">
        <v>538</v>
      </c>
      <c r="H133" s="129">
        <v>87950</v>
      </c>
      <c r="J133" s="310"/>
      <c r="K133" s="115"/>
      <c r="L133" s="310"/>
    </row>
    <row r="134" spans="1:12" s="20" customFormat="1" ht="12.75">
      <c r="A134" s="53">
        <v>2</v>
      </c>
      <c r="B134" s="53">
        <v>2</v>
      </c>
      <c r="C134" s="53">
        <v>1</v>
      </c>
      <c r="D134" s="56" t="s">
        <v>77</v>
      </c>
      <c r="E134" s="56"/>
      <c r="F134" s="53"/>
      <c r="G134" s="54" t="s">
        <v>720</v>
      </c>
      <c r="H134" s="129">
        <v>0</v>
      </c>
      <c r="J134" s="310"/>
      <c r="K134" s="115"/>
      <c r="L134" s="310"/>
    </row>
    <row r="135" spans="1:12" s="20" customFormat="1" ht="12.75">
      <c r="A135" s="53">
        <v>2</v>
      </c>
      <c r="B135" s="53">
        <v>2</v>
      </c>
      <c r="C135" s="53">
        <v>2</v>
      </c>
      <c r="D135" s="56"/>
      <c r="E135" s="56"/>
      <c r="F135" s="53"/>
      <c r="G135" s="57" t="s">
        <v>203</v>
      </c>
      <c r="H135" s="128">
        <v>0</v>
      </c>
      <c r="J135" s="310"/>
      <c r="K135" s="115"/>
      <c r="L135" s="310"/>
    </row>
    <row r="136" spans="1:12" s="20" customFormat="1" ht="12.75">
      <c r="A136" s="53">
        <v>2</v>
      </c>
      <c r="B136" s="53">
        <v>2</v>
      </c>
      <c r="C136" s="53">
        <v>3</v>
      </c>
      <c r="D136" s="56"/>
      <c r="E136" s="56"/>
      <c r="F136" s="53"/>
      <c r="G136" s="57" t="s">
        <v>204</v>
      </c>
      <c r="H136" s="128">
        <v>0</v>
      </c>
      <c r="J136" s="310"/>
      <c r="K136" s="115"/>
      <c r="L136" s="310"/>
    </row>
    <row r="137" spans="1:12" s="20" customFormat="1" ht="12.75">
      <c r="A137" s="53">
        <v>2</v>
      </c>
      <c r="B137" s="53">
        <v>2</v>
      </c>
      <c r="C137" s="53">
        <v>4</v>
      </c>
      <c r="D137" s="56"/>
      <c r="E137" s="56"/>
      <c r="F137" s="53"/>
      <c r="G137" s="57" t="s">
        <v>205</v>
      </c>
      <c r="H137" s="128">
        <v>0</v>
      </c>
      <c r="J137" s="310"/>
      <c r="K137" s="115"/>
      <c r="L137" s="310"/>
    </row>
    <row r="138" spans="1:12" s="20" customFormat="1" ht="12.75">
      <c r="A138" s="53">
        <v>2</v>
      </c>
      <c r="B138" s="53">
        <v>2</v>
      </c>
      <c r="C138" s="53">
        <v>5</v>
      </c>
      <c r="D138" s="56"/>
      <c r="E138" s="56"/>
      <c r="F138" s="53"/>
      <c r="G138" s="57" t="s">
        <v>206</v>
      </c>
      <c r="H138" s="128">
        <v>0</v>
      </c>
      <c r="J138" s="310"/>
      <c r="K138" s="115"/>
      <c r="L138" s="310"/>
    </row>
    <row r="139" spans="1:12" s="20" customFormat="1" ht="12.75">
      <c r="A139" s="53">
        <v>2</v>
      </c>
      <c r="B139" s="53">
        <v>2</v>
      </c>
      <c r="C139" s="53">
        <v>6</v>
      </c>
      <c r="D139" s="56"/>
      <c r="E139" s="56"/>
      <c r="F139" s="53"/>
      <c r="G139" s="57" t="s">
        <v>207</v>
      </c>
      <c r="H139" s="128">
        <f>+H140</f>
        <v>0</v>
      </c>
      <c r="J139" s="310"/>
      <c r="K139" s="115"/>
      <c r="L139" s="310"/>
    </row>
    <row r="140" spans="1:12" s="20" customFormat="1" ht="12.75">
      <c r="A140" s="53">
        <v>2</v>
      </c>
      <c r="B140" s="53">
        <v>2</v>
      </c>
      <c r="C140" s="53">
        <v>6</v>
      </c>
      <c r="D140" s="56" t="s">
        <v>76</v>
      </c>
      <c r="E140" s="56"/>
      <c r="F140" s="53"/>
      <c r="G140" s="54" t="s">
        <v>208</v>
      </c>
      <c r="H140" s="129">
        <v>0</v>
      </c>
      <c r="J140" s="310"/>
      <c r="K140" s="115"/>
      <c r="L140" s="310"/>
    </row>
    <row r="141" spans="1:12" s="20" customFormat="1" ht="12.75">
      <c r="A141" s="53">
        <v>2</v>
      </c>
      <c r="B141" s="53">
        <v>2</v>
      </c>
      <c r="C141" s="53">
        <v>7</v>
      </c>
      <c r="D141" s="56"/>
      <c r="E141" s="56"/>
      <c r="F141" s="53"/>
      <c r="G141" s="57" t="s">
        <v>209</v>
      </c>
      <c r="H141" s="128">
        <f>+H142</f>
        <v>0</v>
      </c>
      <c r="J141" s="310"/>
      <c r="K141" s="115"/>
      <c r="L141" s="310"/>
    </row>
    <row r="142" spans="1:12" s="20" customFormat="1" ht="12.75">
      <c r="A142" s="53">
        <v>2</v>
      </c>
      <c r="B142" s="53">
        <v>2</v>
      </c>
      <c r="C142" s="53">
        <v>7</v>
      </c>
      <c r="D142" s="56" t="s">
        <v>76</v>
      </c>
      <c r="E142" s="56"/>
      <c r="F142" s="53"/>
      <c r="G142" s="54" t="s">
        <v>210</v>
      </c>
      <c r="H142" s="129">
        <v>0</v>
      </c>
      <c r="J142" s="310"/>
      <c r="K142" s="115"/>
      <c r="L142" s="310"/>
    </row>
    <row r="143" spans="1:12" s="20" customFormat="1" ht="12.75">
      <c r="A143" s="53">
        <v>2</v>
      </c>
      <c r="B143" s="53">
        <v>3</v>
      </c>
      <c r="C143" s="53"/>
      <c r="D143" s="56"/>
      <c r="E143" s="56"/>
      <c r="F143" s="53"/>
      <c r="G143" s="58" t="s">
        <v>237</v>
      </c>
      <c r="H143" s="127">
        <f>+H144</f>
        <v>0</v>
      </c>
      <c r="J143" s="310"/>
      <c r="K143" s="115"/>
      <c r="L143" s="310"/>
    </row>
    <row r="144" spans="1:12" s="20" customFormat="1" ht="12.75">
      <c r="A144" s="53">
        <v>2</v>
      </c>
      <c r="B144" s="53">
        <v>3</v>
      </c>
      <c r="C144" s="53">
        <v>2</v>
      </c>
      <c r="D144" s="56"/>
      <c r="E144" s="56"/>
      <c r="F144" s="53"/>
      <c r="G144" s="57" t="s">
        <v>211</v>
      </c>
      <c r="H144" s="128">
        <v>0</v>
      </c>
      <c r="J144" s="310"/>
      <c r="K144" s="115"/>
      <c r="L144" s="310"/>
    </row>
    <row r="145" spans="1:12" s="20" customFormat="1" ht="12.75">
      <c r="A145" s="53">
        <v>2</v>
      </c>
      <c r="B145" s="53">
        <v>4</v>
      </c>
      <c r="C145" s="53"/>
      <c r="D145" s="56"/>
      <c r="E145" s="56"/>
      <c r="F145" s="53"/>
      <c r="G145" s="58" t="s">
        <v>212</v>
      </c>
      <c r="H145" s="127">
        <v>0</v>
      </c>
      <c r="J145" s="310"/>
      <c r="K145" s="115"/>
      <c r="L145" s="310"/>
    </row>
    <row r="146" spans="1:12" s="20" customFormat="1" ht="12.75">
      <c r="A146" s="53">
        <v>2</v>
      </c>
      <c r="B146" s="53">
        <v>5</v>
      </c>
      <c r="C146" s="53"/>
      <c r="D146" s="56"/>
      <c r="E146" s="56"/>
      <c r="F146" s="53"/>
      <c r="G146" s="58" t="s">
        <v>213</v>
      </c>
      <c r="H146" s="127">
        <f>+H147+H151+H153</f>
        <v>15229540</v>
      </c>
      <c r="J146" s="310"/>
      <c r="K146" s="115"/>
      <c r="L146" s="310"/>
    </row>
    <row r="147" spans="1:12" s="20" customFormat="1" ht="12.75">
      <c r="A147" s="53">
        <v>2</v>
      </c>
      <c r="B147" s="53">
        <v>5</v>
      </c>
      <c r="C147" s="53">
        <v>1</v>
      </c>
      <c r="D147" s="56"/>
      <c r="E147" s="56"/>
      <c r="F147" s="53"/>
      <c r="G147" s="57" t="s">
        <v>214</v>
      </c>
      <c r="H147" s="128">
        <f>SUM(H148:H150)</f>
        <v>0</v>
      </c>
      <c r="J147" s="310"/>
      <c r="K147" s="115"/>
      <c r="L147" s="310"/>
    </row>
    <row r="148" spans="1:12" s="20" customFormat="1" ht="12.75">
      <c r="A148" s="53">
        <v>2</v>
      </c>
      <c r="B148" s="53">
        <v>5</v>
      </c>
      <c r="C148" s="53">
        <v>1</v>
      </c>
      <c r="D148" s="56" t="s">
        <v>159</v>
      </c>
      <c r="E148" s="56"/>
      <c r="F148" s="53"/>
      <c r="G148" s="54" t="s">
        <v>215</v>
      </c>
      <c r="H148" s="129">
        <v>0</v>
      </c>
      <c r="J148" s="310"/>
      <c r="K148" s="115"/>
      <c r="L148" s="310"/>
    </row>
    <row r="149" spans="1:12" s="20" customFormat="1" ht="12.75">
      <c r="A149" s="53">
        <v>2</v>
      </c>
      <c r="B149" s="53">
        <v>5</v>
      </c>
      <c r="C149" s="53">
        <v>1</v>
      </c>
      <c r="D149" s="56" t="s">
        <v>216</v>
      </c>
      <c r="E149" s="56"/>
      <c r="F149" s="53"/>
      <c r="G149" s="54" t="s">
        <v>217</v>
      </c>
      <c r="H149" s="129">
        <v>0</v>
      </c>
      <c r="J149" s="310"/>
      <c r="K149" s="115"/>
      <c r="L149" s="310"/>
    </row>
    <row r="150" spans="1:12" s="20" customFormat="1" ht="12.75">
      <c r="A150" s="53">
        <v>2</v>
      </c>
      <c r="B150" s="53">
        <v>5</v>
      </c>
      <c r="C150" s="53">
        <v>1</v>
      </c>
      <c r="D150" s="56" t="s">
        <v>218</v>
      </c>
      <c r="E150" s="56"/>
      <c r="F150" s="53"/>
      <c r="G150" s="54" t="s">
        <v>219</v>
      </c>
      <c r="H150" s="129">
        <v>0</v>
      </c>
      <c r="J150" s="310"/>
      <c r="K150" s="115"/>
      <c r="L150" s="310"/>
    </row>
    <row r="151" spans="1:12" s="20" customFormat="1" ht="12.75">
      <c r="A151" s="53">
        <v>2</v>
      </c>
      <c r="B151" s="53">
        <v>5</v>
      </c>
      <c r="C151" s="53">
        <v>2</v>
      </c>
      <c r="D151" s="56"/>
      <c r="E151" s="56"/>
      <c r="F151" s="53"/>
      <c r="G151" s="57" t="s">
        <v>220</v>
      </c>
      <c r="H151" s="128">
        <f>+H152</f>
        <v>13999540</v>
      </c>
      <c r="J151" s="310"/>
      <c r="K151" s="115"/>
      <c r="L151" s="310"/>
    </row>
    <row r="152" spans="1:12" s="20" customFormat="1" ht="12.75">
      <c r="A152" s="53">
        <v>2</v>
      </c>
      <c r="B152" s="53">
        <v>5</v>
      </c>
      <c r="C152" s="53">
        <v>2</v>
      </c>
      <c r="D152" s="56" t="s">
        <v>79</v>
      </c>
      <c r="E152" s="56"/>
      <c r="F152" s="53"/>
      <c r="G152" s="54" t="s">
        <v>221</v>
      </c>
      <c r="H152" s="129">
        <v>13999540</v>
      </c>
      <c r="J152" s="310"/>
      <c r="K152" s="115"/>
      <c r="L152" s="310"/>
    </row>
    <row r="153" spans="1:12" s="20" customFormat="1" ht="12.75">
      <c r="A153" s="53"/>
      <c r="B153" s="53"/>
      <c r="C153" s="53"/>
      <c r="D153" s="56"/>
      <c r="E153" s="56"/>
      <c r="F153" s="53"/>
      <c r="G153" s="57" t="s">
        <v>779</v>
      </c>
      <c r="H153" s="128">
        <f>+H154</f>
        <v>1230000</v>
      </c>
      <c r="J153" s="310"/>
      <c r="K153" s="115"/>
      <c r="L153" s="310"/>
    </row>
    <row r="154" spans="1:12" s="20" customFormat="1" ht="12.75">
      <c r="A154" s="53"/>
      <c r="B154" s="53"/>
      <c r="C154" s="53"/>
      <c r="D154" s="56"/>
      <c r="E154" s="56"/>
      <c r="F154" s="53"/>
      <c r="G154" s="54" t="s">
        <v>780</v>
      </c>
      <c r="H154" s="129">
        <v>1230000</v>
      </c>
      <c r="J154" s="310"/>
      <c r="K154" s="115"/>
      <c r="L154" s="310"/>
    </row>
    <row r="155" spans="1:12" s="20" customFormat="1" ht="12.75">
      <c r="A155" s="53"/>
      <c r="B155" s="53"/>
      <c r="C155" s="53"/>
      <c r="D155" s="56"/>
      <c r="E155" s="56"/>
      <c r="F155" s="53"/>
      <c r="G155" s="59" t="s">
        <v>222</v>
      </c>
      <c r="H155" s="127">
        <f>+H126</f>
        <v>15317490</v>
      </c>
      <c r="J155" s="310"/>
      <c r="K155" s="115"/>
      <c r="L155" s="310"/>
    </row>
    <row r="156" spans="1:12" s="20" customFormat="1" ht="12.75">
      <c r="A156" s="53"/>
      <c r="B156" s="53"/>
      <c r="C156" s="53"/>
      <c r="D156" s="56"/>
      <c r="E156" s="56"/>
      <c r="F156" s="53"/>
      <c r="G156" s="59" t="s">
        <v>22</v>
      </c>
      <c r="H156" s="127">
        <f>+H155+H125</f>
        <v>622782730</v>
      </c>
      <c r="J156" s="310"/>
      <c r="K156" s="115"/>
      <c r="L156" s="310"/>
    </row>
    <row r="157" spans="1:12" s="20" customFormat="1" ht="12.75">
      <c r="A157" s="53">
        <v>7</v>
      </c>
      <c r="B157" s="53"/>
      <c r="C157" s="53"/>
      <c r="D157" s="56"/>
      <c r="E157" s="56"/>
      <c r="F157" s="53"/>
      <c r="G157" s="58" t="s">
        <v>23</v>
      </c>
      <c r="H157" s="127">
        <f>+H158+H165+H170+H171+H172</f>
        <v>64705860</v>
      </c>
      <c r="J157" s="310"/>
      <c r="K157" s="115"/>
      <c r="L157" s="310"/>
    </row>
    <row r="158" spans="1:12" s="20" customFormat="1" ht="12.75">
      <c r="A158" s="53">
        <v>7</v>
      </c>
      <c r="B158" s="53">
        <v>1</v>
      </c>
      <c r="C158" s="53"/>
      <c r="D158" s="56"/>
      <c r="E158" s="56"/>
      <c r="F158" s="53"/>
      <c r="G158" s="58" t="s">
        <v>223</v>
      </c>
      <c r="H158" s="127">
        <f>+H159+H162</f>
        <v>32851480</v>
      </c>
      <c r="J158" s="310"/>
      <c r="K158" s="115"/>
      <c r="L158" s="310"/>
    </row>
    <row r="159" spans="1:12" s="20" customFormat="1" ht="12.75">
      <c r="A159" s="53">
        <v>7</v>
      </c>
      <c r="B159" s="53">
        <v>1</v>
      </c>
      <c r="C159" s="53">
        <v>1</v>
      </c>
      <c r="D159" s="56"/>
      <c r="E159" s="56"/>
      <c r="F159" s="53"/>
      <c r="G159" s="57" t="s">
        <v>226</v>
      </c>
      <c r="H159" s="128">
        <f>SUM(H160:H161)</f>
        <v>0</v>
      </c>
      <c r="J159" s="310"/>
      <c r="K159" s="115"/>
      <c r="L159" s="310"/>
    </row>
    <row r="160" spans="1:12" s="20" customFormat="1" ht="12.75">
      <c r="A160" s="53">
        <v>7</v>
      </c>
      <c r="B160" s="53">
        <v>1</v>
      </c>
      <c r="C160" s="53">
        <v>1</v>
      </c>
      <c r="D160" s="56" t="s">
        <v>77</v>
      </c>
      <c r="E160" s="56"/>
      <c r="F160" s="53"/>
      <c r="G160" s="54" t="s">
        <v>228</v>
      </c>
      <c r="H160" s="129">
        <v>0</v>
      </c>
      <c r="J160" s="310"/>
      <c r="K160" s="115"/>
      <c r="L160" s="310"/>
    </row>
    <row r="161" spans="1:12" s="20" customFormat="1" ht="12.75">
      <c r="A161" s="53">
        <v>7</v>
      </c>
      <c r="B161" s="53">
        <v>1</v>
      </c>
      <c r="C161" s="53">
        <v>1</v>
      </c>
      <c r="D161" s="56" t="s">
        <v>78</v>
      </c>
      <c r="E161" s="56"/>
      <c r="F161" s="53"/>
      <c r="G161" s="54" t="s">
        <v>224</v>
      </c>
      <c r="H161" s="129">
        <v>0</v>
      </c>
      <c r="J161" s="310"/>
      <c r="K161" s="115"/>
      <c r="L161" s="310"/>
    </row>
    <row r="162" spans="1:12" s="20" customFormat="1" ht="12.75">
      <c r="A162" s="53">
        <v>7</v>
      </c>
      <c r="B162" s="53">
        <v>1</v>
      </c>
      <c r="C162" s="53">
        <v>2</v>
      </c>
      <c r="D162" s="56"/>
      <c r="E162" s="56"/>
      <c r="F162" s="53"/>
      <c r="G162" s="57" t="s">
        <v>225</v>
      </c>
      <c r="H162" s="128">
        <f>SUM(H163:H164)</f>
        <v>32851480</v>
      </c>
      <c r="J162" s="310"/>
      <c r="K162" s="115"/>
      <c r="L162" s="310"/>
    </row>
    <row r="163" spans="1:12" s="20" customFormat="1" ht="12.75">
      <c r="A163" s="53">
        <v>7</v>
      </c>
      <c r="B163" s="53">
        <v>1</v>
      </c>
      <c r="C163" s="53">
        <v>2</v>
      </c>
      <c r="D163" s="56" t="s">
        <v>76</v>
      </c>
      <c r="E163" s="56"/>
      <c r="F163" s="53"/>
      <c r="G163" s="54" t="s">
        <v>227</v>
      </c>
      <c r="H163" s="129">
        <v>0</v>
      </c>
      <c r="J163" s="310"/>
      <c r="K163" s="115"/>
      <c r="L163" s="310"/>
    </row>
    <row r="164" spans="1:12" s="20" customFormat="1" ht="12.75">
      <c r="A164" s="53">
        <v>7</v>
      </c>
      <c r="B164" s="53">
        <v>1</v>
      </c>
      <c r="C164" s="53">
        <v>2</v>
      </c>
      <c r="D164" s="56" t="s">
        <v>77</v>
      </c>
      <c r="E164" s="56"/>
      <c r="F164" s="53"/>
      <c r="G164" s="54" t="s">
        <v>228</v>
      </c>
      <c r="H164" s="129">
        <v>32851480</v>
      </c>
      <c r="J164" s="310"/>
      <c r="K164" s="115"/>
      <c r="L164" s="310"/>
    </row>
    <row r="165" spans="1:12" s="20" customFormat="1" ht="12.75">
      <c r="A165" s="53">
        <v>7</v>
      </c>
      <c r="B165" s="53">
        <v>2</v>
      </c>
      <c r="C165" s="53"/>
      <c r="D165" s="56"/>
      <c r="E165" s="56"/>
      <c r="F165" s="53"/>
      <c r="G165" s="58" t="s">
        <v>229</v>
      </c>
      <c r="H165" s="127">
        <f>SUM(H166:H169)</f>
        <v>0</v>
      </c>
      <c r="J165" s="310"/>
      <c r="K165" s="115"/>
      <c r="L165" s="310"/>
    </row>
    <row r="166" spans="1:12" s="20" customFormat="1" ht="12.75">
      <c r="A166" s="53">
        <v>7</v>
      </c>
      <c r="B166" s="53">
        <v>2</v>
      </c>
      <c r="C166" s="53">
        <v>1</v>
      </c>
      <c r="D166" s="56"/>
      <c r="E166" s="56"/>
      <c r="F166" s="53"/>
      <c r="G166" s="57" t="s">
        <v>230</v>
      </c>
      <c r="H166" s="128">
        <v>0</v>
      </c>
      <c r="J166" s="310"/>
      <c r="K166" s="115"/>
      <c r="L166" s="310"/>
    </row>
    <row r="167" spans="1:12" s="20" customFormat="1" ht="12.75">
      <c r="A167" s="53">
        <v>7</v>
      </c>
      <c r="B167" s="53">
        <v>2</v>
      </c>
      <c r="C167" s="53">
        <v>2</v>
      </c>
      <c r="D167" s="56"/>
      <c r="E167" s="56"/>
      <c r="F167" s="53"/>
      <c r="G167" s="57" t="s">
        <v>231</v>
      </c>
      <c r="H167" s="128">
        <v>0</v>
      </c>
      <c r="J167" s="310"/>
      <c r="K167" s="115"/>
      <c r="L167" s="310"/>
    </row>
    <row r="168" spans="1:12" s="20" customFormat="1" ht="12.75">
      <c r="A168" s="53">
        <v>7</v>
      </c>
      <c r="B168" s="53">
        <v>2</v>
      </c>
      <c r="C168" s="53">
        <v>3</v>
      </c>
      <c r="D168" s="56"/>
      <c r="E168" s="56"/>
      <c r="F168" s="53"/>
      <c r="G168" s="57" t="s">
        <v>232</v>
      </c>
      <c r="H168" s="128">
        <v>0</v>
      </c>
      <c r="J168" s="310"/>
      <c r="K168" s="115"/>
      <c r="L168" s="310"/>
    </row>
    <row r="169" spans="1:12" s="20" customFormat="1" ht="12.75">
      <c r="A169" s="53">
        <v>7</v>
      </c>
      <c r="B169" s="53">
        <v>2</v>
      </c>
      <c r="C169" s="53">
        <v>4</v>
      </c>
      <c r="D169" s="56"/>
      <c r="E169" s="56"/>
      <c r="F169" s="53"/>
      <c r="G169" s="57" t="s">
        <v>233</v>
      </c>
      <c r="H169" s="128">
        <v>0</v>
      </c>
      <c r="J169" s="310"/>
      <c r="K169" s="115"/>
      <c r="L169" s="310"/>
    </row>
    <row r="170" spans="1:12" s="20" customFormat="1" ht="12.75">
      <c r="A170" s="53">
        <v>7</v>
      </c>
      <c r="B170" s="53">
        <v>3</v>
      </c>
      <c r="C170" s="53"/>
      <c r="D170" s="56"/>
      <c r="E170" s="56"/>
      <c r="F170" s="53"/>
      <c r="G170" s="58" t="s">
        <v>234</v>
      </c>
      <c r="H170" s="127">
        <v>0</v>
      </c>
      <c r="J170" s="310"/>
      <c r="K170" s="115"/>
      <c r="L170" s="310"/>
    </row>
    <row r="171" spans="1:12" s="20" customFormat="1" ht="12.75">
      <c r="A171" s="53">
        <v>7</v>
      </c>
      <c r="B171" s="53">
        <v>4</v>
      </c>
      <c r="C171" s="53"/>
      <c r="D171" s="56"/>
      <c r="E171" s="56"/>
      <c r="F171" s="53"/>
      <c r="G171" s="58" t="s">
        <v>235</v>
      </c>
      <c r="H171" s="127">
        <f>29378010</f>
        <v>29378010</v>
      </c>
      <c r="J171" s="310"/>
      <c r="K171" s="115"/>
      <c r="L171" s="310"/>
    </row>
    <row r="172" spans="1:12" s="20" customFormat="1" ht="12.75">
      <c r="A172" s="61">
        <v>7</v>
      </c>
      <c r="B172" s="61">
        <v>5</v>
      </c>
      <c r="C172" s="61"/>
      <c r="D172" s="62"/>
      <c r="E172" s="62"/>
      <c r="F172" s="61"/>
      <c r="G172" s="63" t="s">
        <v>236</v>
      </c>
      <c r="H172" s="127">
        <v>2476370</v>
      </c>
      <c r="J172" s="310"/>
      <c r="K172" s="115"/>
      <c r="L172" s="310"/>
    </row>
    <row r="173" spans="1:12" s="20" customFormat="1" ht="12.75">
      <c r="A173" s="64"/>
      <c r="B173" s="65"/>
      <c r="C173" s="65"/>
      <c r="D173" s="66"/>
      <c r="E173" s="66"/>
      <c r="F173" s="65"/>
      <c r="G173" s="60" t="s">
        <v>32</v>
      </c>
      <c r="H173" s="127">
        <f>+H156+H157</f>
        <v>687488590</v>
      </c>
      <c r="J173" s="310"/>
      <c r="K173" s="115"/>
      <c r="L173" s="310"/>
    </row>
    <row r="174" spans="1:12" s="20" customFormat="1" ht="12.75">
      <c r="H174" s="115"/>
      <c r="I174" s="123"/>
      <c r="J174" s="310"/>
      <c r="K174" s="115"/>
      <c r="L174" s="310"/>
    </row>
    <row r="175" spans="1:12" s="20" customFormat="1" ht="12.75">
      <c r="H175" s="115"/>
      <c r="J175" s="310"/>
      <c r="K175" s="115"/>
      <c r="L175" s="310"/>
    </row>
    <row r="176" spans="1:12" s="20" customFormat="1" ht="12.75">
      <c r="H176" s="115"/>
      <c r="J176" s="310"/>
      <c r="K176" s="115"/>
      <c r="L176" s="310"/>
    </row>
    <row r="177" spans="8:12" s="20" customFormat="1" ht="12.75">
      <c r="H177" s="115"/>
      <c r="J177" s="310"/>
      <c r="K177" s="115"/>
      <c r="L177" s="310"/>
    </row>
    <row r="178" spans="8:12" s="20" customFormat="1" ht="12.75">
      <c r="H178" s="115"/>
      <c r="J178" s="310"/>
      <c r="K178" s="115"/>
      <c r="L178" s="310"/>
    </row>
    <row r="179" spans="8:12" s="20" customFormat="1" ht="12.75">
      <c r="H179" s="115"/>
      <c r="J179" s="310"/>
      <c r="K179" s="115"/>
      <c r="L179" s="310"/>
    </row>
    <row r="180" spans="8:12" s="20" customFormat="1" ht="12.75">
      <c r="H180" s="115"/>
      <c r="J180" s="310"/>
      <c r="K180" s="115"/>
      <c r="L180" s="310"/>
    </row>
    <row r="181" spans="8:12" s="20" customFormat="1" ht="12.75">
      <c r="H181" s="115"/>
      <c r="J181" s="310"/>
      <c r="K181" s="115"/>
      <c r="L181" s="310"/>
    </row>
    <row r="182" spans="8:12" s="20" customFormat="1" ht="12.75">
      <c r="H182" s="115"/>
      <c r="J182" s="310"/>
      <c r="K182" s="115"/>
      <c r="L182" s="310"/>
    </row>
    <row r="183" spans="8:12" s="20" customFormat="1" ht="12.75">
      <c r="H183" s="115"/>
      <c r="J183" s="310"/>
      <c r="K183" s="115"/>
      <c r="L183" s="310"/>
    </row>
    <row r="184" spans="8:12" s="20" customFormat="1" ht="12.75">
      <c r="H184" s="115"/>
      <c r="J184" s="310"/>
      <c r="K184" s="115"/>
      <c r="L184" s="310"/>
    </row>
    <row r="185" spans="8:12" s="20" customFormat="1" ht="12.75">
      <c r="H185" s="115"/>
      <c r="J185" s="310"/>
      <c r="K185" s="115"/>
      <c r="L185" s="310"/>
    </row>
    <row r="186" spans="8:12" s="20" customFormat="1" ht="12.75">
      <c r="H186" s="115"/>
      <c r="J186" s="310"/>
      <c r="K186" s="115"/>
      <c r="L186" s="310"/>
    </row>
    <row r="187" spans="8:12" s="20" customFormat="1" ht="12.75">
      <c r="H187" s="115"/>
      <c r="J187" s="310"/>
      <c r="K187" s="115"/>
      <c r="L187" s="310"/>
    </row>
    <row r="188" spans="8:12" s="20" customFormat="1" ht="12.75">
      <c r="H188" s="115"/>
      <c r="J188" s="310"/>
      <c r="K188" s="115"/>
      <c r="L188" s="310"/>
    </row>
    <row r="189" spans="8:12" s="20" customFormat="1" ht="12.75">
      <c r="H189" s="115"/>
      <c r="J189" s="310"/>
      <c r="K189" s="115"/>
      <c r="L189" s="310"/>
    </row>
    <row r="190" spans="8:12" s="20" customFormat="1" ht="12.75">
      <c r="H190" s="115"/>
      <c r="J190" s="310"/>
      <c r="K190" s="115"/>
      <c r="L190" s="310"/>
    </row>
    <row r="191" spans="8:12" s="20" customFormat="1" ht="12.75">
      <c r="H191" s="115"/>
      <c r="J191" s="310"/>
      <c r="K191" s="115"/>
      <c r="L191" s="310"/>
    </row>
    <row r="192" spans="8:12" s="20" customFormat="1" ht="12.75">
      <c r="H192" s="115"/>
      <c r="J192" s="310"/>
      <c r="K192" s="115"/>
      <c r="L192" s="310"/>
    </row>
    <row r="193" spans="8:12" s="20" customFormat="1" ht="12.75">
      <c r="H193" s="115"/>
      <c r="J193" s="310"/>
      <c r="K193" s="115"/>
      <c r="L193" s="310"/>
    </row>
    <row r="194" spans="8:12" s="20" customFormat="1" ht="12.75">
      <c r="H194" s="115"/>
      <c r="J194" s="310"/>
      <c r="K194" s="115"/>
      <c r="L194" s="310"/>
    </row>
    <row r="195" spans="8:12" s="20" customFormat="1" ht="12.75">
      <c r="H195" s="115"/>
      <c r="J195" s="310"/>
      <c r="K195" s="115"/>
      <c r="L195" s="310"/>
    </row>
    <row r="196" spans="8:12" s="20" customFormat="1" ht="12.75">
      <c r="H196" s="115"/>
      <c r="J196" s="310"/>
      <c r="K196" s="115"/>
      <c r="L196" s="310"/>
    </row>
    <row r="197" spans="8:12" s="20" customFormat="1" ht="12.75">
      <c r="H197" s="115"/>
      <c r="J197" s="310"/>
      <c r="K197" s="115"/>
      <c r="L197" s="310"/>
    </row>
    <row r="198" spans="8:12" s="20" customFormat="1" ht="12.75">
      <c r="H198" s="115"/>
      <c r="J198" s="310"/>
      <c r="K198" s="115"/>
      <c r="L198" s="310"/>
    </row>
    <row r="199" spans="8:12" s="20" customFormat="1" ht="12.75">
      <c r="H199" s="115"/>
      <c r="J199" s="310"/>
      <c r="K199" s="115"/>
      <c r="L199" s="310"/>
    </row>
    <row r="200" spans="8:12" s="20" customFormat="1" ht="12.75">
      <c r="H200" s="115"/>
      <c r="J200" s="310"/>
      <c r="K200" s="115"/>
      <c r="L200" s="310"/>
    </row>
    <row r="201" spans="8:12" s="20" customFormat="1" ht="12.75">
      <c r="H201" s="115"/>
      <c r="J201" s="310"/>
      <c r="K201" s="115"/>
      <c r="L201" s="310"/>
    </row>
    <row r="202" spans="8:12" s="20" customFormat="1" ht="12.75">
      <c r="H202" s="115"/>
      <c r="J202" s="310"/>
      <c r="K202" s="115"/>
      <c r="L202" s="310"/>
    </row>
    <row r="203" spans="8:12" s="20" customFormat="1" ht="12.75">
      <c r="H203" s="115"/>
      <c r="J203" s="310"/>
      <c r="K203" s="115"/>
      <c r="L203" s="310"/>
    </row>
    <row r="204" spans="8:12" s="20" customFormat="1" ht="12.75">
      <c r="H204" s="115"/>
      <c r="J204" s="310"/>
      <c r="K204" s="115"/>
      <c r="L204" s="310"/>
    </row>
    <row r="205" spans="8:12" s="20" customFormat="1" ht="12.75">
      <c r="H205" s="115"/>
      <c r="J205" s="310"/>
      <c r="K205" s="115"/>
      <c r="L205" s="310"/>
    </row>
    <row r="206" spans="8:12" s="20" customFormat="1" ht="12.75">
      <c r="H206" s="115"/>
      <c r="J206" s="310"/>
      <c r="K206" s="115"/>
      <c r="L206" s="310"/>
    </row>
    <row r="207" spans="8:12" s="20" customFormat="1" ht="12.75">
      <c r="H207" s="115"/>
      <c r="J207" s="310"/>
      <c r="K207" s="115"/>
      <c r="L207" s="310"/>
    </row>
    <row r="208" spans="8:12" s="20" customFormat="1" ht="12.75">
      <c r="H208" s="115"/>
      <c r="J208" s="310"/>
      <c r="K208" s="115"/>
      <c r="L208" s="310"/>
    </row>
    <row r="209" spans="8:12" s="20" customFormat="1" ht="12.75">
      <c r="H209" s="115"/>
      <c r="J209" s="310"/>
      <c r="K209" s="115"/>
      <c r="L209" s="310"/>
    </row>
    <row r="210" spans="8:12" s="20" customFormat="1" ht="12.75">
      <c r="H210" s="115"/>
      <c r="J210" s="310"/>
      <c r="K210" s="115"/>
      <c r="L210" s="310"/>
    </row>
    <row r="211" spans="8:12" s="20" customFormat="1" ht="12.75">
      <c r="H211" s="115"/>
      <c r="J211" s="310"/>
      <c r="K211" s="115"/>
      <c r="L211" s="310"/>
    </row>
    <row r="212" spans="8:12" s="20" customFormat="1" ht="12.75">
      <c r="H212" s="115"/>
      <c r="J212" s="310"/>
      <c r="K212" s="115"/>
      <c r="L212" s="310"/>
    </row>
    <row r="213" spans="8:12" s="20" customFormat="1" ht="12.75">
      <c r="H213" s="115"/>
      <c r="J213" s="310"/>
      <c r="K213" s="115"/>
      <c r="L213" s="310"/>
    </row>
    <row r="214" spans="8:12" s="20" customFormat="1" ht="12.75">
      <c r="H214" s="115"/>
      <c r="J214" s="310"/>
      <c r="K214" s="115"/>
      <c r="L214" s="310"/>
    </row>
    <row r="215" spans="8:12" s="20" customFormat="1" ht="12.75">
      <c r="H215" s="115"/>
      <c r="J215" s="310"/>
      <c r="K215" s="115"/>
      <c r="L215" s="310"/>
    </row>
    <row r="216" spans="8:12" s="20" customFormat="1" ht="12.75">
      <c r="H216" s="115"/>
      <c r="J216" s="310"/>
      <c r="K216" s="115"/>
      <c r="L216" s="310"/>
    </row>
    <row r="217" spans="8:12" s="20" customFormat="1" ht="12.75">
      <c r="H217" s="115"/>
      <c r="J217" s="310"/>
      <c r="K217" s="115"/>
      <c r="L217" s="310"/>
    </row>
    <row r="218" spans="8:12" s="20" customFormat="1" ht="12.75">
      <c r="H218" s="115"/>
      <c r="J218" s="310"/>
      <c r="K218" s="115"/>
      <c r="L218" s="310"/>
    </row>
    <row r="219" spans="8:12" s="20" customFormat="1" ht="12.75">
      <c r="H219" s="115"/>
      <c r="J219" s="310"/>
      <c r="K219" s="115"/>
      <c r="L219" s="310"/>
    </row>
    <row r="220" spans="8:12" s="20" customFormat="1" ht="12.75">
      <c r="H220" s="115"/>
      <c r="J220" s="310"/>
      <c r="K220" s="115"/>
      <c r="L220" s="310"/>
    </row>
    <row r="221" spans="8:12" s="20" customFormat="1" ht="12.75">
      <c r="H221" s="115"/>
      <c r="J221" s="310"/>
      <c r="K221" s="115"/>
      <c r="L221" s="310"/>
    </row>
    <row r="222" spans="8:12" s="20" customFormat="1" ht="12.75">
      <c r="H222" s="115"/>
      <c r="J222" s="310"/>
      <c r="K222" s="115"/>
      <c r="L222" s="310"/>
    </row>
    <row r="223" spans="8:12" s="20" customFormat="1" ht="12.75">
      <c r="H223" s="115"/>
      <c r="J223" s="310"/>
      <c r="K223" s="115"/>
      <c r="L223" s="310"/>
    </row>
    <row r="224" spans="8:12" s="20" customFormat="1" ht="12.75">
      <c r="H224" s="115"/>
      <c r="J224" s="310"/>
      <c r="K224" s="115"/>
      <c r="L224" s="310"/>
    </row>
    <row r="225" spans="8:12" s="20" customFormat="1" ht="12.75">
      <c r="H225" s="115"/>
      <c r="J225" s="310"/>
      <c r="K225" s="115"/>
      <c r="L225" s="310"/>
    </row>
    <row r="226" spans="8:12" s="20" customFormat="1" ht="12.75">
      <c r="H226" s="115"/>
      <c r="J226" s="310"/>
      <c r="K226" s="115"/>
      <c r="L226" s="310"/>
    </row>
    <row r="227" spans="8:12" s="20" customFormat="1" ht="12.75">
      <c r="H227" s="115"/>
      <c r="J227" s="310"/>
      <c r="K227" s="115"/>
      <c r="L227" s="310"/>
    </row>
    <row r="228" spans="8:12" s="20" customFormat="1" ht="12.75">
      <c r="H228" s="115"/>
      <c r="J228" s="310"/>
      <c r="K228" s="115"/>
      <c r="L228" s="310"/>
    </row>
    <row r="229" spans="8:12" s="20" customFormat="1" ht="12.75">
      <c r="H229" s="115"/>
      <c r="J229" s="310"/>
      <c r="K229" s="115"/>
      <c r="L229" s="310"/>
    </row>
    <row r="230" spans="8:12" s="20" customFormat="1" ht="12.75">
      <c r="H230" s="115"/>
      <c r="J230" s="310"/>
      <c r="K230" s="115"/>
      <c r="L230" s="310"/>
    </row>
    <row r="231" spans="8:12" s="20" customFormat="1" ht="12.75">
      <c r="H231" s="115"/>
      <c r="J231" s="310"/>
      <c r="K231" s="115"/>
      <c r="L231" s="310"/>
    </row>
    <row r="232" spans="8:12" s="20" customFormat="1" ht="12.75">
      <c r="H232" s="115"/>
      <c r="J232" s="310"/>
      <c r="K232" s="115"/>
      <c r="L232" s="310"/>
    </row>
    <row r="233" spans="8:12" s="20" customFormat="1" ht="12.75">
      <c r="H233" s="115"/>
      <c r="J233" s="310"/>
      <c r="K233" s="115"/>
      <c r="L233" s="310"/>
    </row>
    <row r="234" spans="8:12" s="20" customFormat="1" ht="12.75">
      <c r="H234" s="115"/>
      <c r="J234" s="310"/>
      <c r="K234" s="115"/>
      <c r="L234" s="310"/>
    </row>
    <row r="235" spans="8:12" s="20" customFormat="1" ht="12.75">
      <c r="H235" s="115"/>
      <c r="J235" s="310"/>
      <c r="K235" s="115"/>
      <c r="L235" s="310"/>
    </row>
    <row r="236" spans="8:12" s="20" customFormat="1" ht="12.75">
      <c r="H236" s="115"/>
      <c r="J236" s="310"/>
      <c r="K236" s="115"/>
      <c r="L236" s="310"/>
    </row>
    <row r="237" spans="8:12" s="20" customFormat="1" ht="12.75">
      <c r="H237" s="115"/>
      <c r="J237" s="310"/>
      <c r="K237" s="115"/>
      <c r="L237" s="310"/>
    </row>
    <row r="238" spans="8:12" s="20" customFormat="1" ht="12.75">
      <c r="H238" s="115"/>
      <c r="J238" s="310"/>
      <c r="K238" s="115"/>
      <c r="L238" s="310"/>
    </row>
    <row r="239" spans="8:12" s="20" customFormat="1" ht="12.75">
      <c r="H239" s="115"/>
      <c r="J239" s="310"/>
      <c r="K239" s="115"/>
      <c r="L239" s="310"/>
    </row>
    <row r="240" spans="8:12" s="20" customFormat="1" ht="12.75">
      <c r="H240" s="115"/>
      <c r="J240" s="310"/>
      <c r="K240" s="115"/>
      <c r="L240" s="310"/>
    </row>
    <row r="241" spans="8:12" s="20" customFormat="1" ht="12.75">
      <c r="H241" s="115"/>
      <c r="J241" s="310"/>
      <c r="K241" s="115"/>
      <c r="L241" s="310"/>
    </row>
    <row r="242" spans="8:12" s="20" customFormat="1" ht="12.75">
      <c r="H242" s="115"/>
      <c r="J242" s="310"/>
      <c r="K242" s="115"/>
      <c r="L242" s="310"/>
    </row>
    <row r="243" spans="8:12" s="20" customFormat="1" ht="12.75">
      <c r="H243" s="115"/>
      <c r="J243" s="310"/>
      <c r="K243" s="115"/>
      <c r="L243" s="310"/>
    </row>
    <row r="244" spans="8:12" s="20" customFormat="1" ht="12.75">
      <c r="H244" s="115"/>
      <c r="J244" s="310"/>
      <c r="K244" s="115"/>
      <c r="L244" s="310"/>
    </row>
    <row r="245" spans="8:12" s="20" customFormat="1" ht="12.75">
      <c r="H245" s="115"/>
      <c r="J245" s="310"/>
      <c r="K245" s="115"/>
      <c r="L245" s="310"/>
    </row>
    <row r="246" spans="8:12" s="20" customFormat="1" ht="12.75">
      <c r="H246" s="115"/>
      <c r="J246" s="310"/>
      <c r="K246" s="115"/>
      <c r="L246" s="310"/>
    </row>
    <row r="247" spans="8:12" s="20" customFormat="1" ht="12.75">
      <c r="H247" s="115"/>
      <c r="J247" s="310"/>
      <c r="K247" s="115"/>
      <c r="L247" s="310"/>
    </row>
    <row r="248" spans="8:12" s="20" customFormat="1" ht="12.75">
      <c r="H248" s="115"/>
      <c r="J248" s="310"/>
      <c r="K248" s="115"/>
      <c r="L248" s="310"/>
    </row>
    <row r="249" spans="8:12" s="20" customFormat="1" ht="12.75">
      <c r="H249" s="115"/>
      <c r="J249" s="310"/>
      <c r="K249" s="115"/>
      <c r="L249" s="310"/>
    </row>
    <row r="250" spans="8:12" s="20" customFormat="1" ht="12.75">
      <c r="H250" s="115"/>
      <c r="J250" s="310"/>
      <c r="K250" s="115"/>
      <c r="L250" s="310"/>
    </row>
    <row r="251" spans="8:12" s="20" customFormat="1" ht="12.75">
      <c r="H251" s="115"/>
      <c r="J251" s="310"/>
      <c r="K251" s="115"/>
      <c r="L251" s="310"/>
    </row>
    <row r="252" spans="8:12" s="20" customFormat="1" ht="12.75">
      <c r="H252" s="115"/>
      <c r="J252" s="310"/>
      <c r="K252" s="115"/>
      <c r="L252" s="310"/>
    </row>
    <row r="253" spans="8:12" s="20" customFormat="1" ht="12.75">
      <c r="H253" s="115"/>
      <c r="J253" s="310"/>
      <c r="K253" s="115"/>
      <c r="L253" s="310"/>
    </row>
    <row r="254" spans="8:12" s="20" customFormat="1" ht="12.75">
      <c r="H254" s="115"/>
      <c r="J254" s="310"/>
      <c r="K254" s="115"/>
      <c r="L254" s="310"/>
    </row>
    <row r="255" spans="8:12" s="20" customFormat="1" ht="12.75">
      <c r="H255" s="115"/>
      <c r="J255" s="310"/>
      <c r="K255" s="115"/>
      <c r="L255" s="310"/>
    </row>
    <row r="256" spans="8:12" s="20" customFormat="1" ht="12.75">
      <c r="H256" s="115"/>
      <c r="J256" s="310"/>
      <c r="K256" s="115"/>
      <c r="L256" s="310"/>
    </row>
    <row r="257" spans="8:12" s="20" customFormat="1" ht="12.75">
      <c r="H257" s="115"/>
      <c r="J257" s="310"/>
      <c r="K257" s="115"/>
      <c r="L257" s="310"/>
    </row>
    <row r="258" spans="8:12" s="20" customFormat="1" ht="12.75">
      <c r="H258" s="115"/>
      <c r="J258" s="310"/>
      <c r="K258" s="115"/>
      <c r="L258" s="310"/>
    </row>
    <row r="259" spans="8:12" s="20" customFormat="1" ht="12.75">
      <c r="H259" s="115"/>
      <c r="J259" s="310"/>
      <c r="K259" s="115"/>
      <c r="L259" s="310"/>
    </row>
    <row r="260" spans="8:12" s="20" customFormat="1" ht="12.75">
      <c r="H260" s="115"/>
      <c r="J260" s="310"/>
      <c r="K260" s="115"/>
      <c r="L260" s="310"/>
    </row>
    <row r="261" spans="8:12" s="20" customFormat="1" ht="12.75">
      <c r="H261" s="115"/>
      <c r="J261" s="310"/>
      <c r="K261" s="115"/>
      <c r="L261" s="310"/>
    </row>
    <row r="262" spans="8:12" s="20" customFormat="1" ht="12.75">
      <c r="H262" s="115"/>
      <c r="J262" s="310"/>
      <c r="K262" s="115"/>
      <c r="L262" s="310"/>
    </row>
    <row r="263" spans="8:12" s="20" customFormat="1" ht="12.75">
      <c r="H263" s="115"/>
      <c r="J263" s="310"/>
      <c r="K263" s="115"/>
      <c r="L263" s="310"/>
    </row>
    <row r="264" spans="8:12" s="20" customFormat="1" ht="12.75">
      <c r="H264" s="115"/>
      <c r="J264" s="310"/>
      <c r="K264" s="115"/>
      <c r="L264" s="310"/>
    </row>
    <row r="265" spans="8:12" s="20" customFormat="1" ht="12.75">
      <c r="H265" s="115"/>
      <c r="J265" s="310"/>
      <c r="K265" s="115"/>
      <c r="L265" s="310"/>
    </row>
    <row r="266" spans="8:12" s="20" customFormat="1" ht="12.75">
      <c r="H266" s="115"/>
      <c r="J266" s="310"/>
      <c r="K266" s="115"/>
      <c r="L266" s="310"/>
    </row>
    <row r="267" spans="8:12" s="20" customFormat="1" ht="12.75">
      <c r="H267" s="115"/>
      <c r="J267" s="310"/>
      <c r="K267" s="115"/>
      <c r="L267" s="310"/>
    </row>
    <row r="268" spans="8:12" s="20" customFormat="1" ht="12.75">
      <c r="H268" s="115"/>
      <c r="J268" s="310"/>
      <c r="K268" s="115"/>
      <c r="L268" s="310"/>
    </row>
    <row r="269" spans="8:12" s="20" customFormat="1" ht="12.75">
      <c r="H269" s="115"/>
      <c r="J269" s="310"/>
      <c r="K269" s="115"/>
      <c r="L269" s="310"/>
    </row>
    <row r="270" spans="8:12" s="20" customFormat="1" ht="12.75">
      <c r="H270" s="115"/>
      <c r="J270" s="310"/>
      <c r="K270" s="115"/>
      <c r="L270" s="310"/>
    </row>
    <row r="271" spans="8:12" s="20" customFormat="1" ht="12.75">
      <c r="H271" s="115"/>
      <c r="J271" s="310"/>
      <c r="K271" s="115"/>
      <c r="L271" s="310"/>
    </row>
    <row r="272" spans="8:12" s="20" customFormat="1" ht="12.75">
      <c r="H272" s="115"/>
      <c r="J272" s="310"/>
      <c r="K272" s="115"/>
      <c r="L272" s="310"/>
    </row>
    <row r="273" spans="8:12" s="20" customFormat="1" ht="12.75">
      <c r="H273" s="115"/>
      <c r="J273" s="310"/>
      <c r="K273" s="115"/>
      <c r="L273" s="310"/>
    </row>
    <row r="274" spans="8:12" s="20" customFormat="1" ht="12.75">
      <c r="H274" s="115"/>
      <c r="J274" s="310"/>
      <c r="K274" s="115"/>
      <c r="L274" s="310"/>
    </row>
    <row r="275" spans="8:12" s="20" customFormat="1" ht="12.75">
      <c r="H275" s="115"/>
      <c r="J275" s="310"/>
      <c r="K275" s="115"/>
      <c r="L275" s="310"/>
    </row>
    <row r="276" spans="8:12" s="20" customFormat="1" ht="12.75">
      <c r="H276" s="115"/>
      <c r="J276" s="310"/>
      <c r="K276" s="115"/>
      <c r="L276" s="310"/>
    </row>
    <row r="277" spans="8:12" s="20" customFormat="1" ht="12.75">
      <c r="H277" s="115"/>
      <c r="J277" s="310"/>
      <c r="K277" s="115"/>
      <c r="L277" s="310"/>
    </row>
    <row r="278" spans="8:12" s="20" customFormat="1" ht="12.75">
      <c r="H278" s="115"/>
      <c r="J278" s="310"/>
      <c r="K278" s="115"/>
      <c r="L278" s="310"/>
    </row>
    <row r="279" spans="8:12" s="20" customFormat="1" ht="12.75">
      <c r="H279" s="115"/>
      <c r="J279" s="310"/>
      <c r="K279" s="115"/>
      <c r="L279" s="310"/>
    </row>
    <row r="280" spans="8:12" s="20" customFormat="1" ht="12.75">
      <c r="H280" s="115"/>
      <c r="J280" s="310"/>
      <c r="K280" s="115"/>
      <c r="L280" s="310"/>
    </row>
    <row r="281" spans="8:12" s="20" customFormat="1" ht="12.75">
      <c r="H281" s="115"/>
      <c r="J281" s="310"/>
      <c r="K281" s="115"/>
      <c r="L281" s="310"/>
    </row>
    <row r="282" spans="8:12" s="20" customFormat="1" ht="12.75">
      <c r="H282" s="115"/>
      <c r="J282" s="310"/>
      <c r="K282" s="115"/>
      <c r="L282" s="310"/>
    </row>
    <row r="283" spans="8:12" s="20" customFormat="1" ht="12.75">
      <c r="H283" s="115"/>
      <c r="J283" s="310"/>
      <c r="K283" s="115"/>
      <c r="L283" s="310"/>
    </row>
    <row r="284" spans="8:12" s="20" customFormat="1" ht="12.75">
      <c r="H284" s="115"/>
      <c r="J284" s="310"/>
      <c r="K284" s="115"/>
      <c r="L284" s="310"/>
    </row>
    <row r="285" spans="8:12" s="20" customFormat="1" ht="12.75">
      <c r="H285" s="115"/>
      <c r="J285" s="310"/>
      <c r="K285" s="115"/>
      <c r="L285" s="310"/>
    </row>
    <row r="286" spans="8:12" s="20" customFormat="1" ht="12.75">
      <c r="H286" s="115"/>
      <c r="J286" s="310"/>
      <c r="K286" s="115"/>
      <c r="L286" s="310"/>
    </row>
    <row r="287" spans="8:12" s="20" customFormat="1" ht="12.75">
      <c r="H287" s="115"/>
      <c r="J287" s="310"/>
      <c r="K287" s="115"/>
      <c r="L287" s="310"/>
    </row>
    <row r="288" spans="8:12" s="20" customFormat="1" ht="12.75">
      <c r="H288" s="115"/>
      <c r="J288" s="310"/>
      <c r="K288" s="115"/>
      <c r="L288" s="310"/>
    </row>
    <row r="289" spans="1:12" s="20" customFormat="1" ht="12.75">
      <c r="H289" s="115"/>
      <c r="J289" s="310"/>
      <c r="K289" s="115"/>
      <c r="L289" s="310"/>
    </row>
    <row r="290" spans="1:12" s="20" customFormat="1" ht="12.75">
      <c r="H290" s="115"/>
      <c r="J290" s="310"/>
      <c r="K290" s="115"/>
      <c r="L290" s="310"/>
    </row>
    <row r="291" spans="1:12" s="20" customFormat="1" ht="12.75">
      <c r="H291" s="115"/>
      <c r="J291" s="310"/>
      <c r="K291" s="115"/>
      <c r="L291" s="310"/>
    </row>
    <row r="292" spans="1:12" s="20" customFormat="1" ht="12.75">
      <c r="H292" s="115"/>
      <c r="J292" s="310"/>
      <c r="K292" s="115"/>
      <c r="L292" s="310"/>
    </row>
    <row r="293" spans="1:12" s="20" customFormat="1" ht="12.75">
      <c r="H293" s="115"/>
      <c r="J293" s="310"/>
      <c r="K293" s="115"/>
      <c r="L293" s="310"/>
    </row>
    <row r="294" spans="1:12" s="20" customFormat="1" ht="12.75">
      <c r="H294" s="115"/>
      <c r="J294" s="310"/>
      <c r="K294" s="115"/>
      <c r="L294" s="310"/>
    </row>
    <row r="295" spans="1:12">
      <c r="A295" s="20"/>
      <c r="B295" s="20"/>
      <c r="C295" s="20"/>
      <c r="D295" s="20"/>
      <c r="E295" s="20"/>
      <c r="F295" s="20"/>
      <c r="G295" s="20"/>
      <c r="H295" s="115"/>
    </row>
    <row r="296" spans="1:12">
      <c r="A296" s="20"/>
      <c r="B296" s="20"/>
      <c r="C296" s="20"/>
      <c r="D296" s="20"/>
      <c r="E296" s="20"/>
      <c r="F296" s="20"/>
      <c r="G296" s="20"/>
      <c r="H296" s="115"/>
    </row>
    <row r="297" spans="1:12">
      <c r="A297" s="20"/>
      <c r="B297" s="20"/>
      <c r="C297" s="20"/>
      <c r="D297" s="20"/>
      <c r="E297" s="20"/>
      <c r="F297" s="20"/>
      <c r="G297" s="20"/>
      <c r="H297" s="115"/>
    </row>
    <row r="298" spans="1:12">
      <c r="A298" s="20"/>
      <c r="B298" s="20"/>
      <c r="C298" s="20"/>
      <c r="D298" s="20"/>
      <c r="E298" s="20"/>
      <c r="F298" s="20"/>
      <c r="G298" s="20"/>
      <c r="H298" s="115"/>
    </row>
    <row r="299" spans="1:12">
      <c r="A299" s="20"/>
      <c r="B299" s="20"/>
      <c r="C299" s="20"/>
      <c r="D299" s="20"/>
      <c r="E299" s="20"/>
      <c r="F299" s="20"/>
      <c r="G299" s="20"/>
      <c r="H299" s="115"/>
    </row>
    <row r="300" spans="1:12">
      <c r="A300" s="20"/>
      <c r="B300" s="20"/>
      <c r="C300" s="20"/>
      <c r="D300" s="20"/>
      <c r="E300" s="20"/>
      <c r="F300" s="20"/>
      <c r="G300" s="20"/>
      <c r="H300" s="115"/>
    </row>
    <row r="301" spans="1:12">
      <c r="A301" s="20"/>
      <c r="B301" s="20"/>
      <c r="C301" s="20"/>
      <c r="D301" s="20"/>
      <c r="E301" s="20"/>
      <c r="F301" s="20"/>
      <c r="G301" s="20"/>
      <c r="H301" s="115"/>
    </row>
    <row r="302" spans="1:12">
      <c r="A302" s="20"/>
      <c r="B302" s="20"/>
      <c r="C302" s="20"/>
      <c r="D302" s="20"/>
      <c r="E302" s="20"/>
      <c r="F302" s="20"/>
      <c r="G302" s="20"/>
      <c r="H302" s="115"/>
    </row>
    <row r="303" spans="1:12">
      <c r="A303" s="20"/>
      <c r="B303" s="20"/>
      <c r="C303" s="20"/>
      <c r="D303" s="20"/>
      <c r="E303" s="20"/>
      <c r="F303" s="20"/>
      <c r="G303" s="20"/>
      <c r="H303" s="115"/>
    </row>
    <row r="304" spans="1:12">
      <c r="A304" s="20"/>
      <c r="B304" s="20"/>
      <c r="C304" s="20"/>
      <c r="D304" s="20"/>
      <c r="E304" s="20"/>
      <c r="F304" s="20"/>
      <c r="G304" s="20"/>
      <c r="H304" s="115"/>
    </row>
  </sheetData>
  <mergeCells count="7">
    <mergeCell ref="A8:H8"/>
    <mergeCell ref="A64:F64"/>
    <mergeCell ref="G64:G65"/>
    <mergeCell ref="A120:F120"/>
    <mergeCell ref="G120:G121"/>
    <mergeCell ref="A10:F10"/>
    <mergeCell ref="G10:G11"/>
  </mergeCells>
  <printOptions horizontalCentered="1"/>
  <pageMargins left="0" right="0" top="0.35433070866141736" bottom="0.35433070866141736" header="0.31496062992125984" footer="0.31496062992125984"/>
  <pageSetup paperSize="9" scale="86" orientation="portrait" r:id="rId1"/>
  <rowBreaks count="2" manualBreakCount="2">
    <brk id="63" max="16383" man="1"/>
    <brk id="119" max="16383" man="1"/>
  </rowBreaks>
  <ignoredErrors>
    <ignoredError sqref="E16" numberStoredAsText="1"/>
  </ignoredErrors>
  <drawing r:id="rId2"/>
</worksheet>
</file>

<file path=xl/worksheets/sheet30.xml><?xml version="1.0" encoding="utf-8"?>
<worksheet xmlns="http://schemas.openxmlformats.org/spreadsheetml/2006/main" xmlns:r="http://schemas.openxmlformats.org/officeDocument/2006/relationships">
  <dimension ref="A1:J24"/>
  <sheetViews>
    <sheetView workbookViewId="0">
      <selection activeCell="A7" sqref="A7"/>
    </sheetView>
  </sheetViews>
  <sheetFormatPr baseColWidth="10" defaultRowHeight="15"/>
  <cols>
    <col min="1" max="1" width="63.140625" customWidth="1"/>
  </cols>
  <sheetData>
    <row r="1" spans="1:4" s="1" customFormat="1" ht="15" customHeight="1">
      <c r="A1" s="202"/>
      <c r="B1" s="202"/>
      <c r="C1" s="202"/>
      <c r="D1" s="202"/>
    </row>
    <row r="2" spans="1:4" s="1" customFormat="1" ht="15" customHeight="1">
      <c r="A2" s="202"/>
      <c r="B2" s="202"/>
      <c r="C2" s="202"/>
      <c r="D2" s="202"/>
    </row>
    <row r="3" spans="1:4" s="1" customFormat="1" ht="15" customHeight="1">
      <c r="A3" s="202"/>
      <c r="B3" s="202"/>
      <c r="C3" s="202"/>
      <c r="D3" s="202"/>
    </row>
    <row r="4" spans="1:4" s="1" customFormat="1" ht="15" customHeight="1">
      <c r="A4" s="202"/>
      <c r="B4" s="202"/>
      <c r="C4" s="202"/>
      <c r="D4" s="202"/>
    </row>
    <row r="5" spans="1:4" s="1" customFormat="1" ht="15" customHeight="1" thickBot="1">
      <c r="A5" s="203"/>
      <c r="B5" s="203"/>
      <c r="C5" s="203"/>
      <c r="D5" s="203"/>
    </row>
    <row r="6" spans="1:4" ht="10.5" customHeight="1" thickTop="1">
      <c r="A6" s="80"/>
    </row>
    <row r="7" spans="1:4" s="131" customFormat="1" ht="12.75">
      <c r="A7" s="162" t="s">
        <v>867</v>
      </c>
      <c r="B7" s="162"/>
      <c r="C7" s="194"/>
    </row>
    <row r="8" spans="1:4" s="131" customFormat="1" ht="12.75">
      <c r="A8" s="456"/>
      <c r="B8" s="456"/>
      <c r="C8" s="456"/>
      <c r="D8" s="456"/>
    </row>
    <row r="9" spans="1:4" s="131" customFormat="1" ht="12.75">
      <c r="A9" s="456"/>
      <c r="B9" s="456"/>
      <c r="C9" s="456"/>
      <c r="D9" s="456"/>
    </row>
    <row r="10" spans="1:4" s="131" customFormat="1" ht="13.5" thickBot="1"/>
    <row r="11" spans="1:4" s="131" customFormat="1" ht="13.5" thickBot="1">
      <c r="A11" s="238" t="s">
        <v>645</v>
      </c>
      <c r="B11" s="238">
        <v>2015</v>
      </c>
      <c r="C11" s="238">
        <v>2016</v>
      </c>
      <c r="D11" s="238">
        <v>2017</v>
      </c>
    </row>
    <row r="12" spans="1:4" s="131" customFormat="1" ht="12.75">
      <c r="A12" s="195" t="s">
        <v>646</v>
      </c>
      <c r="B12" s="317">
        <v>0.05</v>
      </c>
      <c r="C12" s="317">
        <v>0.06</v>
      </c>
      <c r="D12" s="318">
        <v>7.0000000000000007E-2</v>
      </c>
    </row>
    <row r="13" spans="1:4" s="131" customFormat="1" ht="12.75">
      <c r="A13" s="196" t="s">
        <v>647</v>
      </c>
      <c r="B13" s="367">
        <v>2.8000000000000001E-2</v>
      </c>
      <c r="C13" s="367">
        <v>2.9000000000000001E-2</v>
      </c>
      <c r="D13" s="370">
        <v>3.2000000000000001E-2</v>
      </c>
    </row>
    <row r="14" spans="1:4" s="131" customFormat="1" ht="12.75">
      <c r="A14" s="196" t="s">
        <v>699</v>
      </c>
      <c r="B14" s="367">
        <v>0.156</v>
      </c>
      <c r="C14" s="367">
        <v>0.13200000000000001</v>
      </c>
      <c r="D14" s="370">
        <v>9.9000000000000005E-2</v>
      </c>
    </row>
    <row r="15" spans="1:4" s="131" customFormat="1" ht="12.75">
      <c r="A15" s="196" t="s">
        <v>648</v>
      </c>
      <c r="B15" s="367">
        <v>0.19700000000000001</v>
      </c>
      <c r="C15" s="367">
        <v>0.158</v>
      </c>
      <c r="D15" s="367">
        <v>0.126</v>
      </c>
    </row>
    <row r="16" spans="1:4" s="131" customFormat="1" ht="12.75">
      <c r="A16" s="196" t="s">
        <v>649</v>
      </c>
      <c r="B16" s="368">
        <v>9.4499999999999993</v>
      </c>
      <c r="C16" s="368">
        <v>10.69</v>
      </c>
      <c r="D16" s="369">
        <v>11.79</v>
      </c>
    </row>
    <row r="17" spans="1:10" s="131" customFormat="1" ht="12.75">
      <c r="A17" s="196" t="s">
        <v>650</v>
      </c>
      <c r="B17" s="319">
        <v>0.04</v>
      </c>
      <c r="C17" s="319">
        <v>0.05</v>
      </c>
      <c r="D17" s="320">
        <v>0.06</v>
      </c>
    </row>
    <row r="18" spans="1:10" s="131" customFormat="1" ht="12.75">
      <c r="A18" s="196" t="s">
        <v>651</v>
      </c>
      <c r="B18" s="319">
        <v>0.1</v>
      </c>
      <c r="C18" s="319">
        <v>0.11</v>
      </c>
      <c r="D18" s="320">
        <v>0.13</v>
      </c>
    </row>
    <row r="19" spans="1:10" s="131" customFormat="1" ht="12.75"/>
    <row r="20" spans="1:10" s="131" customFormat="1" ht="12.75">
      <c r="A20" s="457" t="s">
        <v>652</v>
      </c>
      <c r="B20" s="457"/>
    </row>
    <row r="21" spans="1:10" s="131" customFormat="1" ht="12.75">
      <c r="A21" s="457" t="s">
        <v>653</v>
      </c>
      <c r="B21" s="457"/>
    </row>
    <row r="22" spans="1:10" s="131" customFormat="1" ht="12.75">
      <c r="A22" s="458" t="s">
        <v>758</v>
      </c>
      <c r="B22" s="458"/>
    </row>
    <row r="23" spans="1:10" s="131" customFormat="1" ht="12.75">
      <c r="C23" s="165"/>
    </row>
    <row r="24" spans="1:10" s="131" customFormat="1" ht="12.75">
      <c r="B24" s="155"/>
      <c r="E24" s="162"/>
      <c r="F24" s="162"/>
      <c r="G24" s="162"/>
      <c r="H24" s="162"/>
      <c r="I24" s="162"/>
      <c r="J24" s="162"/>
    </row>
  </sheetData>
  <mergeCells count="5">
    <mergeCell ref="A8:D8"/>
    <mergeCell ref="A9:D9"/>
    <mergeCell ref="A20:B20"/>
    <mergeCell ref="A21:B21"/>
    <mergeCell ref="A22:B22"/>
  </mergeCells>
  <printOptions horizontalCentered="1"/>
  <pageMargins left="0" right="0" top="0.74803149606299213" bottom="0.74803149606299213" header="0.31496062992125984" footer="0.31496062992125984"/>
  <pageSetup paperSize="9" scale="80" orientation="portrait" r:id="rId1"/>
  <drawing r:id="rId2"/>
</worksheet>
</file>

<file path=xl/worksheets/sheet31.xml><?xml version="1.0" encoding="utf-8"?>
<worksheet xmlns="http://schemas.openxmlformats.org/spreadsheetml/2006/main" xmlns:r="http://schemas.openxmlformats.org/officeDocument/2006/relationships">
  <dimension ref="A1:F34"/>
  <sheetViews>
    <sheetView zoomScale="60" zoomScaleNormal="60" workbookViewId="0">
      <selection activeCell="D27" sqref="D27"/>
    </sheetView>
  </sheetViews>
  <sheetFormatPr baseColWidth="10" defaultRowHeight="15"/>
  <cols>
    <col min="2" max="2" width="27" customWidth="1"/>
    <col min="3" max="3" width="82.28515625" customWidth="1"/>
    <col min="4" max="4" width="53.7109375" bestFit="1" customWidth="1"/>
    <col min="5" max="5" width="60.140625" customWidth="1"/>
    <col min="6" max="6" width="24.85546875" bestFit="1" customWidth="1"/>
  </cols>
  <sheetData>
    <row r="1" spans="1:6" s="1" customFormat="1" ht="15" customHeight="1">
      <c r="A1" s="95"/>
      <c r="B1"/>
    </row>
    <row r="2" spans="1:6" s="1" customFormat="1" ht="15" customHeight="1">
      <c r="A2" s="95"/>
    </row>
    <row r="3" spans="1:6" s="1" customFormat="1" ht="15" customHeight="1">
      <c r="A3" s="95"/>
    </row>
    <row r="4" spans="1:6" s="1" customFormat="1" ht="15" customHeight="1">
      <c r="A4" s="95"/>
    </row>
    <row r="5" spans="1:6" s="1" customFormat="1" ht="15" customHeight="1">
      <c r="A5" s="95"/>
    </row>
    <row r="6" spans="1:6" s="1" customFormat="1" ht="15" customHeight="1" thickBot="1">
      <c r="A6" s="100"/>
      <c r="B6" s="6"/>
      <c r="C6" s="6"/>
      <c r="D6" s="6"/>
      <c r="E6" s="6"/>
      <c r="F6" s="6"/>
    </row>
    <row r="7" spans="1:6" ht="10.5" customHeight="1" thickTop="1">
      <c r="A7" s="80"/>
    </row>
    <row r="8" spans="1:6" s="20" customFormat="1" ht="12.75">
      <c r="A8" s="104" t="s">
        <v>867</v>
      </c>
    </row>
    <row r="10" spans="1:6" s="169" customFormat="1" ht="15.75">
      <c r="A10" s="460" t="s">
        <v>747</v>
      </c>
      <c r="B10" s="460"/>
      <c r="C10" s="460"/>
      <c r="D10" s="460"/>
      <c r="E10" s="460"/>
    </row>
    <row r="11" spans="1:6" s="169" customFormat="1" ht="15.75"/>
    <row r="12" spans="1:6" s="169" customFormat="1" ht="23.25" customHeight="1">
      <c r="A12" s="205" t="s">
        <v>759</v>
      </c>
      <c r="B12" s="205"/>
    </row>
    <row r="13" spans="1:6" s="169" customFormat="1" ht="24.95" customHeight="1">
      <c r="A13" s="205" t="s">
        <v>606</v>
      </c>
      <c r="B13" s="205"/>
    </row>
    <row r="14" spans="1:6" s="169" customFormat="1" ht="15" customHeight="1"/>
    <row r="15" spans="1:6" s="170" customFormat="1" ht="64.5" customHeight="1">
      <c r="A15" s="234" t="s">
        <v>607</v>
      </c>
      <c r="B15" s="234" t="s">
        <v>608</v>
      </c>
      <c r="C15" s="234" t="s">
        <v>609</v>
      </c>
      <c r="D15" s="234" t="s">
        <v>610</v>
      </c>
      <c r="E15" s="234" t="s">
        <v>611</v>
      </c>
      <c r="F15" s="234" t="s">
        <v>760</v>
      </c>
    </row>
    <row r="16" spans="1:6" s="173" customFormat="1" ht="47.25">
      <c r="A16" s="204">
        <v>1</v>
      </c>
      <c r="B16" s="383" t="s">
        <v>612</v>
      </c>
      <c r="C16" s="174" t="s">
        <v>863</v>
      </c>
      <c r="D16" s="171" t="s">
        <v>613</v>
      </c>
      <c r="E16" s="171" t="s">
        <v>614</v>
      </c>
      <c r="F16" s="172">
        <f>+D27/D26</f>
        <v>3345.9751020046588</v>
      </c>
    </row>
    <row r="17" spans="1:6" s="173" customFormat="1" ht="47.25">
      <c r="A17" s="204">
        <v>2</v>
      </c>
      <c r="B17" s="383" t="s">
        <v>615</v>
      </c>
      <c r="C17" s="174" t="s">
        <v>864</v>
      </c>
      <c r="D17" s="174" t="s">
        <v>616</v>
      </c>
      <c r="E17" s="171" t="s">
        <v>613</v>
      </c>
      <c r="F17" s="172">
        <f>+D28/D27</f>
        <v>0.43977827470766123</v>
      </c>
    </row>
    <row r="18" spans="1:6" s="173" customFormat="1" ht="47.25">
      <c r="A18" s="204">
        <v>3</v>
      </c>
      <c r="B18" s="383" t="s">
        <v>617</v>
      </c>
      <c r="C18" s="174" t="s">
        <v>864</v>
      </c>
      <c r="D18" s="171" t="s">
        <v>618</v>
      </c>
      <c r="E18" s="171" t="s">
        <v>613</v>
      </c>
      <c r="F18" s="172">
        <f>+D29/D27</f>
        <v>0.237286417720182</v>
      </c>
    </row>
    <row r="19" spans="1:6" s="173" customFormat="1" ht="47.25">
      <c r="A19" s="204">
        <v>4</v>
      </c>
      <c r="B19" s="383" t="s">
        <v>619</v>
      </c>
      <c r="C19" s="171" t="s">
        <v>865</v>
      </c>
      <c r="D19" s="171" t="s">
        <v>620</v>
      </c>
      <c r="E19" s="171" t="s">
        <v>614</v>
      </c>
      <c r="F19" s="172">
        <f>+D30/D26</f>
        <v>425.46619906932148</v>
      </c>
    </row>
    <row r="20" spans="1:6" s="173" customFormat="1" ht="47.25">
      <c r="A20" s="204">
        <v>5</v>
      </c>
      <c r="B20" s="383" t="s">
        <v>621</v>
      </c>
      <c r="C20" s="171" t="s">
        <v>866</v>
      </c>
      <c r="D20" s="171" t="s">
        <v>620</v>
      </c>
      <c r="E20" s="174" t="s">
        <v>622</v>
      </c>
      <c r="F20" s="172">
        <f>+D30/D32</f>
        <v>0.13440808563795353</v>
      </c>
    </row>
    <row r="21" spans="1:6" s="173" customFormat="1" ht="47.25">
      <c r="A21" s="204">
        <v>6</v>
      </c>
      <c r="B21" s="383" t="s">
        <v>623</v>
      </c>
      <c r="C21" s="174" t="s">
        <v>864</v>
      </c>
      <c r="D21" s="174" t="s">
        <v>624</v>
      </c>
      <c r="E21" s="174" t="s">
        <v>622</v>
      </c>
      <c r="F21" s="172">
        <f>+D31/D32</f>
        <v>0.80382768897196488</v>
      </c>
    </row>
    <row r="22" spans="1:6" s="173" customFormat="1" ht="31.5">
      <c r="A22" s="204">
        <v>7</v>
      </c>
      <c r="B22" s="383" t="s">
        <v>625</v>
      </c>
      <c r="C22" s="174" t="s">
        <v>864</v>
      </c>
      <c r="D22" s="174" t="s">
        <v>616</v>
      </c>
      <c r="E22" s="174" t="s">
        <v>622</v>
      </c>
      <c r="F22" s="172">
        <f>+D28/D32</f>
        <v>0.46485425240133904</v>
      </c>
    </row>
    <row r="23" spans="1:6" s="173" customFormat="1" ht="47.25">
      <c r="A23" s="204">
        <v>8</v>
      </c>
      <c r="B23" s="383" t="s">
        <v>626</v>
      </c>
      <c r="C23" s="174" t="s">
        <v>864</v>
      </c>
      <c r="D23" s="171" t="s">
        <v>627</v>
      </c>
      <c r="E23" s="174" t="s">
        <v>622</v>
      </c>
      <c r="F23" s="172">
        <f>+D33/D32</f>
        <v>7.4713624766414619E-2</v>
      </c>
    </row>
    <row r="24" spans="1:6" s="169" customFormat="1" ht="20.100000000000001" customHeight="1">
      <c r="A24" s="175"/>
      <c r="B24" s="175"/>
      <c r="C24" s="175"/>
      <c r="D24" s="175"/>
      <c r="E24" s="175"/>
    </row>
    <row r="25" spans="1:6" s="169" customFormat="1" ht="20.100000000000001" customHeight="1">
      <c r="A25" s="235" t="s">
        <v>761</v>
      </c>
      <c r="B25" s="235"/>
      <c r="C25" s="235"/>
      <c r="D25" s="175"/>
      <c r="E25" s="175"/>
      <c r="F25" s="175"/>
    </row>
    <row r="26" spans="1:6" s="169" customFormat="1" ht="21.95" customHeight="1">
      <c r="A26" s="459" t="s">
        <v>628</v>
      </c>
      <c r="B26" s="459"/>
      <c r="C26" s="459"/>
      <c r="D26" s="176">
        <v>191903</v>
      </c>
      <c r="E26" s="175"/>
      <c r="F26" s="220"/>
    </row>
    <row r="27" spans="1:6" s="169" customFormat="1" ht="21.95" customHeight="1">
      <c r="A27" s="459" t="s">
        <v>613</v>
      </c>
      <c r="B27" s="459"/>
      <c r="C27" s="459"/>
      <c r="D27" s="176">
        <f>+resgral!F14-resgral!F19+resgral!F21</f>
        <v>642102660</v>
      </c>
      <c r="E27" s="175"/>
      <c r="F27" s="175"/>
    </row>
    <row r="28" spans="1:6" s="169" customFormat="1" ht="21.95" customHeight="1">
      <c r="A28" s="459" t="s">
        <v>616</v>
      </c>
      <c r="B28" s="459"/>
      <c r="C28" s="459"/>
      <c r="D28" s="176">
        <f>+resgral!F16</f>
        <v>282382800</v>
      </c>
      <c r="E28" s="175"/>
      <c r="F28" s="175"/>
    </row>
    <row r="29" spans="1:6" s="169" customFormat="1" ht="21.95" customHeight="1">
      <c r="A29" s="459" t="s">
        <v>618</v>
      </c>
      <c r="B29" s="459"/>
      <c r="C29" s="459"/>
      <c r="D29" s="176">
        <f>+resgral!F22+resgral!F23+resgral!F25</f>
        <v>152362240</v>
      </c>
      <c r="E29" s="175"/>
      <c r="F29" s="175"/>
    </row>
    <row r="30" spans="1:6" s="169" customFormat="1" ht="21.95" customHeight="1">
      <c r="A30" s="459" t="s">
        <v>620</v>
      </c>
      <c r="B30" s="459"/>
      <c r="C30" s="459"/>
      <c r="D30" s="176">
        <f>+resgral!B23</f>
        <v>81648240</v>
      </c>
      <c r="E30" s="175"/>
      <c r="F30" s="175"/>
    </row>
    <row r="31" spans="1:6" s="169" customFormat="1" ht="21.95" customHeight="1">
      <c r="A31" s="459" t="s">
        <v>624</v>
      </c>
      <c r="B31" s="459"/>
      <c r="C31" s="459"/>
      <c r="D31" s="176">
        <f>+resgral!F14</f>
        <v>488297380</v>
      </c>
      <c r="E31" s="175"/>
      <c r="F31" s="175"/>
    </row>
    <row r="32" spans="1:6" s="169" customFormat="1" ht="21.95" customHeight="1">
      <c r="A32" s="459" t="s">
        <v>622</v>
      </c>
      <c r="B32" s="459"/>
      <c r="C32" s="459"/>
      <c r="D32" s="176">
        <f>+resgral!B14</f>
        <v>607465240</v>
      </c>
      <c r="E32" s="175"/>
      <c r="F32" s="175"/>
    </row>
    <row r="33" spans="1:6" s="169" customFormat="1" ht="21.95" customHeight="1">
      <c r="A33" s="459" t="s">
        <v>627</v>
      </c>
      <c r="B33" s="459"/>
      <c r="C33" s="459"/>
      <c r="D33" s="176">
        <f>+resgral!F19+resgral!F26</f>
        <v>45385930</v>
      </c>
      <c r="E33" s="175"/>
      <c r="F33" s="175"/>
    </row>
    <row r="34" spans="1:6" s="169" customFormat="1" ht="15.75">
      <c r="D34" s="175"/>
      <c r="E34" s="175"/>
      <c r="F34" s="175"/>
    </row>
  </sheetData>
  <mergeCells count="9">
    <mergeCell ref="A33:C33"/>
    <mergeCell ref="A10:E10"/>
    <mergeCell ref="A26:C26"/>
    <mergeCell ref="A27:C27"/>
    <mergeCell ref="A28:C28"/>
    <mergeCell ref="A29:C29"/>
    <mergeCell ref="A30:C30"/>
    <mergeCell ref="A31:C31"/>
    <mergeCell ref="A32:C32"/>
  </mergeCells>
  <printOptions horizontalCentered="1"/>
  <pageMargins left="0" right="0" top="0.15748031496062992" bottom="0.35433070866141736" header="0.31496062992125984" footer="0.31496062992125984"/>
  <pageSetup paperSize="9" scale="52" orientation="landscape" r:id="rId1"/>
  <drawing r:id="rId2"/>
</worksheet>
</file>

<file path=xl/worksheets/sheet32.xml><?xml version="1.0" encoding="utf-8"?>
<worksheet xmlns="http://schemas.openxmlformats.org/spreadsheetml/2006/main" xmlns:r="http://schemas.openxmlformats.org/officeDocument/2006/relationships">
  <dimension ref="A1:F69"/>
  <sheetViews>
    <sheetView workbookViewId="0">
      <selection activeCell="D35" sqref="D35"/>
    </sheetView>
  </sheetViews>
  <sheetFormatPr baseColWidth="10" defaultRowHeight="12.75"/>
  <cols>
    <col min="1" max="1" width="50.5703125" style="131" bestFit="1" customWidth="1"/>
    <col min="2" max="2" width="16.85546875" style="131" customWidth="1"/>
    <col min="3" max="3" width="20.85546875" style="131" customWidth="1"/>
    <col min="4" max="4" width="19.85546875" style="131" customWidth="1"/>
    <col min="5" max="5" width="2.28515625" style="131" customWidth="1"/>
    <col min="6" max="6" width="15.85546875" style="216" bestFit="1" customWidth="1"/>
    <col min="7" max="7" width="3.5703125" style="131" customWidth="1"/>
    <col min="8" max="16384" width="11.42578125" style="131"/>
  </cols>
  <sheetData>
    <row r="1" spans="1:6" s="1" customFormat="1" ht="15" customHeight="1">
      <c r="A1" s="202"/>
      <c r="B1" s="202"/>
      <c r="C1" s="202"/>
      <c r="D1" s="202"/>
      <c r="F1" s="3"/>
    </row>
    <row r="2" spans="1:6" s="1" customFormat="1" ht="15" customHeight="1">
      <c r="A2" s="202"/>
      <c r="B2" s="202"/>
      <c r="C2" s="202"/>
      <c r="D2" s="202"/>
      <c r="F2" s="3"/>
    </row>
    <row r="3" spans="1:6" s="1" customFormat="1" ht="15" customHeight="1">
      <c r="A3" s="202"/>
      <c r="B3" s="202"/>
      <c r="C3" s="202"/>
      <c r="D3" s="202"/>
      <c r="F3" s="3"/>
    </row>
    <row r="4" spans="1:6" s="1" customFormat="1" ht="15" customHeight="1">
      <c r="A4" s="202"/>
      <c r="B4" s="202"/>
      <c r="C4" s="202"/>
      <c r="D4" s="202"/>
      <c r="F4" s="3"/>
    </row>
    <row r="5" spans="1:6" s="1" customFormat="1" ht="15" customHeight="1" thickBot="1">
      <c r="A5" s="203"/>
      <c r="B5" s="203"/>
      <c r="C5" s="203"/>
      <c r="D5" s="203"/>
      <c r="F5" s="3"/>
    </row>
    <row r="6" spans="1:6" customFormat="1" ht="10.5" customHeight="1" thickTop="1">
      <c r="A6" s="80"/>
      <c r="F6" s="237"/>
    </row>
    <row r="7" spans="1:6">
      <c r="A7" s="181" t="str">
        <f>+supuestos!A7</f>
        <v>Ordenanza Nº 6355/14</v>
      </c>
      <c r="D7" s="461"/>
      <c r="E7" s="461"/>
      <c r="F7" s="461"/>
    </row>
    <row r="8" spans="1:6" ht="15">
      <c r="A8" s="462" t="s">
        <v>747</v>
      </c>
      <c r="B8" s="462"/>
      <c r="C8" s="462"/>
      <c r="D8" s="462"/>
    </row>
    <row r="9" spans="1:6">
      <c r="A9" s="463" t="s">
        <v>762</v>
      </c>
      <c r="B9" s="463"/>
      <c r="C9" s="463"/>
      <c r="D9" s="463"/>
    </row>
    <row r="10" spans="1:6">
      <c r="A10" s="464" t="s">
        <v>630</v>
      </c>
      <c r="B10" s="464"/>
      <c r="C10" s="464"/>
      <c r="D10" s="464"/>
    </row>
    <row r="11" spans="1:6" ht="13.5" thickBot="1"/>
    <row r="12" spans="1:6" ht="13.5" thickBot="1">
      <c r="A12" s="245" t="s">
        <v>554</v>
      </c>
      <c r="B12" s="245" t="s">
        <v>662</v>
      </c>
      <c r="C12" s="245" t="s">
        <v>719</v>
      </c>
      <c r="D12" s="245" t="s">
        <v>763</v>
      </c>
    </row>
    <row r="13" spans="1:6">
      <c r="A13" s="182"/>
      <c r="B13" s="182"/>
      <c r="C13" s="182"/>
      <c r="D13" s="182"/>
    </row>
    <row r="14" spans="1:6">
      <c r="A14" s="183" t="s">
        <v>1</v>
      </c>
      <c r="B14" s="184">
        <f>+B15+B18+B22</f>
        <v>607465240</v>
      </c>
      <c r="C14" s="184">
        <f>+C15+C18+C22</f>
        <v>720558631.39999998</v>
      </c>
      <c r="D14" s="184">
        <f>+D15+D18+D22</f>
        <v>777132993.97200012</v>
      </c>
    </row>
    <row r="15" spans="1:6">
      <c r="A15" s="185" t="s">
        <v>214</v>
      </c>
      <c r="B15" s="184">
        <f>+B16+B17</f>
        <v>279908810</v>
      </c>
      <c r="C15" s="184">
        <f>+C16+C17</f>
        <v>335890572</v>
      </c>
      <c r="D15" s="184">
        <f>+D16+D17</f>
        <v>357402912.04000002</v>
      </c>
    </row>
    <row r="16" spans="1:6">
      <c r="A16" s="186" t="s">
        <v>555</v>
      </c>
      <c r="B16" s="187">
        <f>+comparación!C19</f>
        <v>279908810</v>
      </c>
      <c r="C16" s="187">
        <f>+B16*1.2</f>
        <v>335890572</v>
      </c>
      <c r="D16" s="187">
        <f>+C16*1.07-2000000</f>
        <v>357402912.04000002</v>
      </c>
    </row>
    <row r="17" spans="1:4">
      <c r="A17" s="186" t="s">
        <v>557</v>
      </c>
      <c r="B17" s="187">
        <f>+comparación!C20</f>
        <v>0</v>
      </c>
      <c r="C17" s="187">
        <f>+B17*1.13</f>
        <v>0</v>
      </c>
      <c r="D17" s="187">
        <f>+C17*1.07</f>
        <v>0</v>
      </c>
    </row>
    <row r="18" spans="1:4">
      <c r="A18" s="185" t="s">
        <v>220</v>
      </c>
      <c r="B18" s="184">
        <f>+B19+B20+B21</f>
        <v>224881890</v>
      </c>
      <c r="C18" s="184">
        <f>+C19</f>
        <v>269858268</v>
      </c>
      <c r="D18" s="184">
        <f>+D19</f>
        <v>284254528.08000004</v>
      </c>
    </row>
    <row r="19" spans="1:4">
      <c r="A19" s="186" t="s">
        <v>560</v>
      </c>
      <c r="B19" s="187">
        <f>+comparación!C22</f>
        <v>224881890</v>
      </c>
      <c r="C19" s="187">
        <f>+B19*1.2</f>
        <v>269858268</v>
      </c>
      <c r="D19" s="187">
        <f>+C19*1.06-1795236</f>
        <v>284254528.08000004</v>
      </c>
    </row>
    <row r="20" spans="1:4">
      <c r="A20" s="186" t="s">
        <v>561</v>
      </c>
      <c r="B20" s="187">
        <f>+comparación!B23</f>
        <v>0</v>
      </c>
      <c r="C20" s="187">
        <v>0</v>
      </c>
      <c r="D20" s="187">
        <f>+C20*[1]supuestos!$E$9*(1+[1]supuestos!$E$6)+C20*(1-[1]supuestos!$E$9)*(1+[1]supuestos!$E$8+[1]supuestos!$E$7+[1]supuestos!$E$6)</f>
        <v>0</v>
      </c>
    </row>
    <row r="21" spans="1:4">
      <c r="A21" s="186" t="s">
        <v>563</v>
      </c>
      <c r="B21" s="187">
        <f>+comparación!C24</f>
        <v>0</v>
      </c>
      <c r="C21" s="187">
        <v>0</v>
      </c>
      <c r="D21" s="187">
        <v>0</v>
      </c>
    </row>
    <row r="22" spans="1:4">
      <c r="A22" s="185" t="s">
        <v>564</v>
      </c>
      <c r="B22" s="184">
        <f>+B23+B24</f>
        <v>102674540</v>
      </c>
      <c r="C22" s="184">
        <f>+C23+C24</f>
        <v>114809791.40000001</v>
      </c>
      <c r="D22" s="184">
        <f>+D23+D24</f>
        <v>135475553.852</v>
      </c>
    </row>
    <row r="23" spans="1:4">
      <c r="A23" s="186" t="s">
        <v>565</v>
      </c>
      <c r="B23" s="187">
        <f>+comparación!C26</f>
        <v>81648240</v>
      </c>
      <c r="C23" s="187">
        <f>+B23*1.11</f>
        <v>90629546.400000006</v>
      </c>
      <c r="D23" s="187">
        <f>+C23*1.18</f>
        <v>106942864.752</v>
      </c>
    </row>
    <row r="24" spans="1:4">
      <c r="A24" s="186" t="s">
        <v>566</v>
      </c>
      <c r="B24" s="187">
        <f>+comparación!C27</f>
        <v>21026300</v>
      </c>
      <c r="C24" s="187">
        <f>+B24*1.15</f>
        <v>24180244.999999996</v>
      </c>
      <c r="D24" s="187">
        <f>+C24*1.18</f>
        <v>28532689.099999994</v>
      </c>
    </row>
    <row r="25" spans="1:4">
      <c r="A25" s="186"/>
      <c r="B25" s="187"/>
      <c r="C25" s="187"/>
      <c r="D25" s="187"/>
    </row>
    <row r="26" spans="1:4">
      <c r="A26" s="183" t="s">
        <v>16</v>
      </c>
      <c r="B26" s="184">
        <f>+B28+B31+B29</f>
        <v>15317490</v>
      </c>
      <c r="C26" s="184">
        <f>+C28+C31</f>
        <v>17606318.5</v>
      </c>
      <c r="D26" s="184">
        <f>+D28+D31</f>
        <v>20775455.829999998</v>
      </c>
    </row>
    <row r="27" spans="1:4">
      <c r="A27" s="186" t="s">
        <v>571</v>
      </c>
      <c r="B27" s="187">
        <f>+comparación!C31</f>
        <v>0</v>
      </c>
      <c r="C27" s="187">
        <v>0</v>
      </c>
      <c r="D27" s="187">
        <v>0</v>
      </c>
    </row>
    <row r="28" spans="1:4">
      <c r="A28" s="186" t="s">
        <v>572</v>
      </c>
      <c r="B28" s="187">
        <f>+comparación!C32</f>
        <v>87950</v>
      </c>
      <c r="C28" s="187">
        <f>+B28*1.05</f>
        <v>92347.5</v>
      </c>
      <c r="D28" s="187">
        <f>+C28*1.18</f>
        <v>108970.04999999999</v>
      </c>
    </row>
    <row r="29" spans="1:4">
      <c r="A29" s="186" t="s">
        <v>573</v>
      </c>
      <c r="B29" s="187">
        <f>+comparación!C33</f>
        <v>0</v>
      </c>
      <c r="C29" s="187">
        <v>0</v>
      </c>
      <c r="D29" s="187">
        <f>+C29*(1+[1]supuestos!E13)</f>
        <v>0</v>
      </c>
    </row>
    <row r="30" spans="1:4">
      <c r="A30" s="186" t="s">
        <v>574</v>
      </c>
      <c r="B30" s="187">
        <f>+comparación!C34</f>
        <v>0</v>
      </c>
      <c r="C30" s="187">
        <v>0</v>
      </c>
      <c r="D30" s="187">
        <v>0</v>
      </c>
    </row>
    <row r="31" spans="1:4" ht="13.5" thickBot="1">
      <c r="A31" s="186" t="s">
        <v>575</v>
      </c>
      <c r="B31" s="187">
        <f>+comparación!C35</f>
        <v>15229540</v>
      </c>
      <c r="C31" s="187">
        <f>+B31*1.15</f>
        <v>17513971</v>
      </c>
      <c r="D31" s="187">
        <f>+C31*1.18</f>
        <v>20666485.779999997</v>
      </c>
    </row>
    <row r="32" spans="1:4" ht="13.5" thickBot="1">
      <c r="A32" s="238" t="s">
        <v>22</v>
      </c>
      <c r="B32" s="246">
        <f>+B14+B26</f>
        <v>622782730</v>
      </c>
      <c r="C32" s="246">
        <f>+C26+C14</f>
        <v>738164949.89999998</v>
      </c>
      <c r="D32" s="246">
        <f>+D26+D14</f>
        <v>797908449.80200016</v>
      </c>
    </row>
    <row r="33" spans="1:4">
      <c r="A33" s="185"/>
      <c r="B33" s="184"/>
      <c r="C33" s="184"/>
      <c r="D33" s="184"/>
    </row>
    <row r="34" spans="1:4">
      <c r="A34" s="183" t="s">
        <v>33</v>
      </c>
      <c r="B34" s="184">
        <f>+B35+B39+B40</f>
        <v>488297380</v>
      </c>
      <c r="C34" s="184">
        <f>+C35+C39+C40</f>
        <v>548272634.21376157</v>
      </c>
      <c r="D34" s="184">
        <f>+D35+D39+D40</f>
        <v>585097052.62038672</v>
      </c>
    </row>
    <row r="35" spans="1:4">
      <c r="A35" s="185" t="s">
        <v>281</v>
      </c>
      <c r="B35" s="184">
        <f>+B36+B37+B38</f>
        <v>480430010</v>
      </c>
      <c r="C35" s="184">
        <f>+C36+C37+C38</f>
        <v>540052074.5</v>
      </c>
      <c r="D35" s="184">
        <f>+D36+D37+D38</f>
        <v>576566855.73400009</v>
      </c>
    </row>
    <row r="36" spans="1:4">
      <c r="A36" s="186" t="s">
        <v>631</v>
      </c>
      <c r="B36" s="187">
        <f>+comparación!H19</f>
        <v>282382800</v>
      </c>
      <c r="C36" s="187">
        <f>+B36*1.16</f>
        <v>327564048</v>
      </c>
      <c r="D36" s="187">
        <f>+C36*1.08</f>
        <v>353769171.84000003</v>
      </c>
    </row>
    <row r="37" spans="1:4">
      <c r="A37" s="186" t="s">
        <v>632</v>
      </c>
      <c r="B37" s="187">
        <f>+comparación!H20</f>
        <v>28875590</v>
      </c>
      <c r="C37" s="187">
        <f>+B37*1.09</f>
        <v>31474393.100000001</v>
      </c>
      <c r="D37" s="187">
        <f>+C37*1.04</f>
        <v>32733368.824000001</v>
      </c>
    </row>
    <row r="38" spans="1:4">
      <c r="A38" s="186" t="s">
        <v>633</v>
      </c>
      <c r="B38" s="187">
        <f>+comparación!H21</f>
        <v>169171620</v>
      </c>
      <c r="C38" s="187">
        <f>+B38*1.07</f>
        <v>181013633.40000001</v>
      </c>
      <c r="D38" s="187">
        <f>+C38*1.05</f>
        <v>190064315.07000002</v>
      </c>
    </row>
    <row r="39" spans="1:4">
      <c r="A39" s="185" t="s">
        <v>634</v>
      </c>
      <c r="B39" s="184">
        <f>+comparación!H22</f>
        <v>833650</v>
      </c>
      <c r="C39" s="184">
        <f>+B39/1.09</f>
        <v>764816.51376146788</v>
      </c>
      <c r="D39" s="184">
        <f>+C39/1.09</f>
        <v>701666.52638666774</v>
      </c>
    </row>
    <row r="40" spans="1:4">
      <c r="A40" s="185" t="s">
        <v>369</v>
      </c>
      <c r="B40" s="184">
        <f>+comparación!H23</f>
        <v>7033720</v>
      </c>
      <c r="C40" s="184">
        <f>+B40*1.06</f>
        <v>7455743.2000000002</v>
      </c>
      <c r="D40" s="184">
        <f>+C40*1.05</f>
        <v>7828530.3600000003</v>
      </c>
    </row>
    <row r="41" spans="1:4">
      <c r="A41" s="185"/>
      <c r="B41" s="184"/>
      <c r="C41" s="184"/>
      <c r="D41" s="184"/>
    </row>
    <row r="42" spans="1:4">
      <c r="A42" s="185" t="s">
        <v>251</v>
      </c>
      <c r="B42" s="184">
        <v>154638930</v>
      </c>
      <c r="C42" s="184">
        <f>+C43+C44+C45+C46</f>
        <v>168519826.40215686</v>
      </c>
      <c r="D42" s="184">
        <f>+D43+D44+D45+D46</f>
        <v>184860104.23741564</v>
      </c>
    </row>
    <row r="43" spans="1:4">
      <c r="A43" s="186" t="s">
        <v>41</v>
      </c>
      <c r="B43" s="187">
        <f>+comparación!H27</f>
        <v>12214990</v>
      </c>
      <c r="C43" s="187">
        <f>+B43/1.02</f>
        <v>11975480.392156862</v>
      </c>
      <c r="D43" s="187">
        <f>+C43/1.08</f>
        <v>11088407.770515611</v>
      </c>
    </row>
    <row r="44" spans="1:4">
      <c r="A44" s="186" t="s">
        <v>42</v>
      </c>
      <c r="B44" s="187">
        <f>+comparación!H28</f>
        <v>138762330</v>
      </c>
      <c r="C44" s="187">
        <f>+B44*1.1</f>
        <v>152638563</v>
      </c>
      <c r="D44" s="187">
        <f>+C44*1.11</f>
        <v>169428804.93000001</v>
      </c>
    </row>
    <row r="45" spans="1:4">
      <c r="A45" s="186" t="s">
        <v>635</v>
      </c>
      <c r="B45" s="187">
        <f>+comparación!H30</f>
        <v>1384920</v>
      </c>
      <c r="C45" s="187">
        <f>+B45*1.03</f>
        <v>1426467.6</v>
      </c>
      <c r="D45" s="187">
        <f>+C45*1.15</f>
        <v>1640437.74</v>
      </c>
    </row>
    <row r="46" spans="1:4" ht="13.5" thickBot="1">
      <c r="A46" s="186" t="s">
        <v>636</v>
      </c>
      <c r="B46" s="187">
        <v>2276690</v>
      </c>
      <c r="C46" s="187">
        <f>+B46*1.089</f>
        <v>2479315.41</v>
      </c>
      <c r="D46" s="187">
        <f>+C46*1.09</f>
        <v>2702453.7969000004</v>
      </c>
    </row>
    <row r="47" spans="1:4" ht="13.5" thickBot="1">
      <c r="A47" s="238" t="s">
        <v>48</v>
      </c>
      <c r="B47" s="246">
        <f>+B42+B34</f>
        <v>642936310</v>
      </c>
      <c r="C47" s="246">
        <f>+C42+C34</f>
        <v>716792460.6159184</v>
      </c>
      <c r="D47" s="246">
        <f>+D42+D34</f>
        <v>769957156.85780239</v>
      </c>
    </row>
    <row r="48" spans="1:4">
      <c r="A48" s="185"/>
      <c r="B48" s="184"/>
      <c r="C48" s="184"/>
      <c r="D48" s="184"/>
    </row>
    <row r="49" spans="1:6">
      <c r="A49" s="185" t="s">
        <v>23</v>
      </c>
      <c r="B49" s="184">
        <f>+B50+B54+B57+B58</f>
        <v>64705860</v>
      </c>
      <c r="C49" s="184">
        <f>+C50+C54+C57</f>
        <v>30431782</v>
      </c>
      <c r="D49" s="184">
        <f>+D50+D54+D57</f>
        <v>28753704.369999997</v>
      </c>
    </row>
    <row r="50" spans="1:6" s="192" customFormat="1">
      <c r="A50" s="190" t="s">
        <v>576</v>
      </c>
      <c r="B50" s="191">
        <f>+B51+B52+B53</f>
        <v>32851480</v>
      </c>
      <c r="C50" s="191">
        <f>+C51+C52+C53</f>
        <v>30431782</v>
      </c>
      <c r="D50" s="191">
        <f>+D51+D52+D53</f>
        <v>28753704.369999997</v>
      </c>
      <c r="F50" s="239"/>
    </row>
    <row r="51" spans="1:6">
      <c r="A51" s="186" t="s">
        <v>637</v>
      </c>
      <c r="B51" s="187">
        <f>+resgral!B34</f>
        <v>0</v>
      </c>
      <c r="C51" s="187">
        <v>0</v>
      </c>
      <c r="D51" s="187">
        <v>0</v>
      </c>
    </row>
    <row r="52" spans="1:6">
      <c r="A52" s="186" t="s">
        <v>638</v>
      </c>
      <c r="B52" s="187">
        <f>+resgral!B35</f>
        <v>0</v>
      </c>
      <c r="C52" s="187">
        <v>0</v>
      </c>
      <c r="D52" s="187">
        <v>0</v>
      </c>
    </row>
    <row r="53" spans="1:6">
      <c r="A53" s="186" t="s">
        <v>639</v>
      </c>
      <c r="B53" s="187">
        <f>+resgral!B36</f>
        <v>32851480</v>
      </c>
      <c r="C53" s="187">
        <v>30431782</v>
      </c>
      <c r="D53" s="187">
        <f>+C53*1.035-2743190</f>
        <v>28753704.369999997</v>
      </c>
    </row>
    <row r="54" spans="1:6" s="192" customFormat="1">
      <c r="A54" s="190" t="s">
        <v>577</v>
      </c>
      <c r="B54" s="191">
        <f>+B55</f>
        <v>0</v>
      </c>
      <c r="C54" s="191">
        <v>0</v>
      </c>
      <c r="D54" s="191">
        <v>0</v>
      </c>
      <c r="F54" s="239"/>
    </row>
    <row r="55" spans="1:6">
      <c r="A55" s="186" t="s">
        <v>640</v>
      </c>
      <c r="B55" s="187">
        <f>+resgral!B37</f>
        <v>0</v>
      </c>
      <c r="C55" s="187">
        <v>0</v>
      </c>
      <c r="D55" s="187">
        <v>0</v>
      </c>
    </row>
    <row r="56" spans="1:6" s="192" customFormat="1">
      <c r="A56" s="190" t="s">
        <v>578</v>
      </c>
      <c r="B56" s="191">
        <f>+resgral!B38</f>
        <v>0</v>
      </c>
      <c r="C56" s="191">
        <v>0</v>
      </c>
      <c r="D56" s="191">
        <v>0</v>
      </c>
      <c r="F56" s="239"/>
    </row>
    <row r="57" spans="1:6" s="192" customFormat="1">
      <c r="A57" s="190" t="s">
        <v>579</v>
      </c>
      <c r="B57" s="191">
        <f>+resgral!B39</f>
        <v>29378010</v>
      </c>
      <c r="C57" s="191"/>
      <c r="D57" s="191"/>
      <c r="F57" s="239"/>
    </row>
    <row r="58" spans="1:6" s="192" customFormat="1">
      <c r="A58" s="190" t="s">
        <v>581</v>
      </c>
      <c r="B58" s="191">
        <f>+resgral!B40</f>
        <v>2476370</v>
      </c>
      <c r="C58" s="191">
        <v>0</v>
      </c>
      <c r="D58" s="191">
        <v>0</v>
      </c>
      <c r="F58" s="239"/>
    </row>
    <row r="59" spans="1:6">
      <c r="A59" s="186"/>
      <c r="B59" s="187"/>
      <c r="C59" s="187"/>
      <c r="D59" s="187"/>
    </row>
    <row r="60" spans="1:6">
      <c r="A60" s="185" t="s">
        <v>45</v>
      </c>
      <c r="B60" s="184">
        <f>+B61+B62</f>
        <v>44552280</v>
      </c>
      <c r="C60" s="184">
        <f>+C61+C62</f>
        <v>51804271.199999996</v>
      </c>
      <c r="D60" s="184">
        <f>+D61+D62</f>
        <v>56704996.769999996</v>
      </c>
    </row>
    <row r="61" spans="1:6">
      <c r="A61" s="186" t="s">
        <v>641</v>
      </c>
      <c r="B61" s="187">
        <f>+resgral!F27</f>
        <v>2230590</v>
      </c>
      <c r="C61" s="187">
        <v>1864677</v>
      </c>
      <c r="D61" s="187">
        <f>+C61*0.95</f>
        <v>1771443.15</v>
      </c>
    </row>
    <row r="62" spans="1:6">
      <c r="A62" s="186" t="s">
        <v>642</v>
      </c>
      <c r="B62" s="187">
        <f>+resgral!F28</f>
        <v>42321690</v>
      </c>
      <c r="C62" s="187">
        <f>+B62*1.18</f>
        <v>49939594.199999996</v>
      </c>
      <c r="D62" s="187">
        <f>+C62*1.1</f>
        <v>54933553.619999997</v>
      </c>
    </row>
    <row r="63" spans="1:6">
      <c r="A63" s="186"/>
      <c r="B63" s="187"/>
      <c r="C63" s="187"/>
      <c r="D63" s="187"/>
    </row>
    <row r="64" spans="1:6">
      <c r="A64" s="188" t="s">
        <v>580</v>
      </c>
      <c r="B64" s="184">
        <f>+B49+B32</f>
        <v>687488590</v>
      </c>
      <c r="C64" s="184">
        <f>+C49+C32</f>
        <v>768596731.89999998</v>
      </c>
      <c r="D64" s="184">
        <f>+D49+D32+1</f>
        <v>826662155.17200017</v>
      </c>
    </row>
    <row r="65" spans="1:6">
      <c r="A65" s="189" t="s">
        <v>643</v>
      </c>
      <c r="B65" s="387">
        <v>687488590</v>
      </c>
      <c r="C65" s="184">
        <v>768596732</v>
      </c>
      <c r="D65" s="184">
        <v>826662155</v>
      </c>
    </row>
    <row r="66" spans="1:6" ht="13.5" thickBot="1">
      <c r="A66" s="186"/>
      <c r="B66" s="193"/>
      <c r="C66" s="193"/>
      <c r="D66" s="193"/>
    </row>
    <row r="67" spans="1:6" s="142" customFormat="1" ht="13.5" thickBot="1">
      <c r="A67" s="238" t="s">
        <v>644</v>
      </c>
      <c r="B67" s="246">
        <f>+B64-B65</f>
        <v>0</v>
      </c>
      <c r="C67" s="246">
        <f>+C64-C65</f>
        <v>-0.10000002384185791</v>
      </c>
      <c r="D67" s="246">
        <f>+D64-D65</f>
        <v>0.17200016975402832</v>
      </c>
      <c r="F67" s="240"/>
    </row>
    <row r="69" spans="1:6">
      <c r="C69" s="371"/>
      <c r="D69" s="371"/>
      <c r="E69" s="152"/>
    </row>
  </sheetData>
  <mergeCells count="4">
    <mergeCell ref="D7:F7"/>
    <mergeCell ref="A8:D8"/>
    <mergeCell ref="A9:D9"/>
    <mergeCell ref="A10:D10"/>
  </mergeCells>
  <printOptions horizontalCentered="1"/>
  <pageMargins left="0" right="0" top="0.74803149606299213" bottom="0.35433070866141736" header="0.31496062992125984" footer="0.31496062992125984"/>
  <pageSetup paperSize="9" scale="80" orientation="portrait" r:id="rId1"/>
  <drawing r:id="rId2"/>
</worksheet>
</file>

<file path=xl/worksheets/sheet33.xml><?xml version="1.0" encoding="utf-8"?>
<worksheet xmlns="http://schemas.openxmlformats.org/spreadsheetml/2006/main" xmlns:r="http://schemas.openxmlformats.org/officeDocument/2006/relationships">
  <dimension ref="A1:E21"/>
  <sheetViews>
    <sheetView workbookViewId="0">
      <selection activeCell="A7" sqref="A7"/>
    </sheetView>
  </sheetViews>
  <sheetFormatPr baseColWidth="10" defaultRowHeight="15"/>
  <cols>
    <col min="1" max="1" width="60.7109375" bestFit="1" customWidth="1"/>
  </cols>
  <sheetData>
    <row r="1" spans="1:5" s="1" customFormat="1" ht="12.75">
      <c r="A1" s="95"/>
      <c r="B1" s="95"/>
    </row>
    <row r="2" spans="1:5" s="1" customFormat="1" ht="12.75">
      <c r="A2" s="95"/>
      <c r="B2" s="95"/>
    </row>
    <row r="3" spans="1:5" s="1" customFormat="1" ht="12.75">
      <c r="A3" s="95"/>
      <c r="B3" s="95"/>
    </row>
    <row r="4" spans="1:5" s="1" customFormat="1" ht="12.75">
      <c r="A4" s="95"/>
      <c r="B4" s="95"/>
    </row>
    <row r="5" spans="1:5" s="1" customFormat="1" ht="13.5" thickBot="1">
      <c r="A5" s="100"/>
      <c r="B5" s="100"/>
    </row>
    <row r="6" spans="1:5" ht="10.5" customHeight="1" thickTop="1">
      <c r="A6" s="80"/>
      <c r="B6" s="80"/>
    </row>
    <row r="7" spans="1:5" s="131" customFormat="1" ht="12.75">
      <c r="A7" s="197" t="str">
        <f>+supuestos!A7</f>
        <v>Ordenanza Nº 6355/14</v>
      </c>
      <c r="B7" s="198"/>
    </row>
    <row r="8" spans="1:5" s="131" customFormat="1">
      <c r="A8" s="462" t="s">
        <v>747</v>
      </c>
      <c r="B8" s="462"/>
      <c r="C8" s="199"/>
      <c r="D8" s="199"/>
      <c r="E8" s="199"/>
    </row>
    <row r="9" spans="1:5" s="131" customFormat="1">
      <c r="A9" s="199"/>
      <c r="B9" s="199"/>
      <c r="C9" s="199"/>
      <c r="D9" s="199"/>
      <c r="E9" s="199"/>
    </row>
    <row r="10" spans="1:5" s="131" customFormat="1" ht="12.75">
      <c r="A10" s="456" t="s">
        <v>654</v>
      </c>
      <c r="B10" s="456"/>
    </row>
    <row r="11" spans="1:5" s="131" customFormat="1" ht="12.75">
      <c r="B11" s="200"/>
    </row>
    <row r="12" spans="1:5" s="131" customFormat="1" ht="12.75">
      <c r="A12" s="149"/>
      <c r="B12" s="200"/>
    </row>
    <row r="13" spans="1:5" s="131" customFormat="1" ht="13.5" thickBot="1">
      <c r="B13" s="200"/>
    </row>
    <row r="14" spans="1:5" s="131" customFormat="1" ht="13.5" thickBot="1">
      <c r="A14" s="238" t="s">
        <v>655</v>
      </c>
      <c r="B14" s="238" t="s">
        <v>656</v>
      </c>
    </row>
    <row r="15" spans="1:5" s="131" customFormat="1" ht="12.75">
      <c r="B15" s="152"/>
    </row>
    <row r="16" spans="1:5" s="131" customFormat="1" ht="20.100000000000001" customHeight="1">
      <c r="A16" s="201" t="s">
        <v>657</v>
      </c>
      <c r="B16" s="247">
        <v>81000</v>
      </c>
    </row>
    <row r="17" spans="1:2" s="131" customFormat="1" ht="20.100000000000001" customHeight="1">
      <c r="A17" s="201" t="s">
        <v>658</v>
      </c>
      <c r="B17" s="247">
        <v>40500</v>
      </c>
    </row>
    <row r="18" spans="1:2" s="131" customFormat="1" ht="20.100000000000001" customHeight="1">
      <c r="A18" s="201" t="s">
        <v>659</v>
      </c>
      <c r="B18" s="247">
        <v>258000</v>
      </c>
    </row>
    <row r="19" spans="1:2" s="131" customFormat="1" ht="20.100000000000001" customHeight="1" thickBot="1">
      <c r="A19" s="201" t="s">
        <v>660</v>
      </c>
      <c r="B19" s="247">
        <v>131000</v>
      </c>
    </row>
    <row r="20" spans="1:2" s="131" customFormat="1" ht="16.5" thickBot="1">
      <c r="A20" s="238" t="s">
        <v>661</v>
      </c>
      <c r="B20" s="241">
        <f>SUM(B16:B19)</f>
        <v>510500</v>
      </c>
    </row>
    <row r="21" spans="1:2" s="131" customFormat="1" ht="12.75">
      <c r="B21" s="152"/>
    </row>
  </sheetData>
  <mergeCells count="2">
    <mergeCell ref="A8:B8"/>
    <mergeCell ref="A10:B10"/>
  </mergeCells>
  <printOptions horizontalCentered="1"/>
  <pageMargins left="0" right="0" top="0.74803149606299213" bottom="0.74803149606299213" header="0.31496062992125984" footer="0.31496062992125984"/>
  <pageSetup paperSize="9" orientation="portrait" r:id="rId1"/>
  <drawing r:id="rId2"/>
</worksheet>
</file>

<file path=xl/worksheets/sheet34.xml><?xml version="1.0" encoding="utf-8"?>
<worksheet xmlns="http://schemas.openxmlformats.org/spreadsheetml/2006/main" xmlns:r="http://schemas.openxmlformats.org/officeDocument/2006/relationships">
  <dimension ref="A1:E36"/>
  <sheetViews>
    <sheetView workbookViewId="0">
      <selection activeCell="H38" sqref="H38"/>
    </sheetView>
  </sheetViews>
  <sheetFormatPr baseColWidth="10" defaultRowHeight="15"/>
  <cols>
    <col min="1" max="1" width="111.7109375" customWidth="1"/>
    <col min="2" max="2" width="12.5703125" bestFit="1" customWidth="1"/>
  </cols>
  <sheetData>
    <row r="1" spans="1:5" s="1" customFormat="1" ht="12.75">
      <c r="A1" s="95"/>
      <c r="B1" s="95"/>
    </row>
    <row r="2" spans="1:5" s="1" customFormat="1" ht="12.75">
      <c r="A2" s="95"/>
      <c r="B2" s="95"/>
    </row>
    <row r="3" spans="1:5" s="1" customFormat="1" ht="12.75">
      <c r="A3" s="95"/>
      <c r="B3" s="95"/>
    </row>
    <row r="4" spans="1:5" s="1" customFormat="1" ht="12.75">
      <c r="A4" s="95"/>
      <c r="B4" s="95"/>
    </row>
    <row r="5" spans="1:5" s="1" customFormat="1" ht="13.5" thickBot="1">
      <c r="A5" s="100"/>
      <c r="B5" s="100"/>
    </row>
    <row r="6" spans="1:5" ht="10.5" customHeight="1" thickTop="1">
      <c r="A6" s="80"/>
      <c r="B6" s="80"/>
    </row>
    <row r="7" spans="1:5" s="131" customFormat="1" ht="12.75">
      <c r="A7" s="197" t="str">
        <f>+'costo tributario'!A7</f>
        <v>Ordenanza Nº 6355/14</v>
      </c>
      <c r="B7" s="198"/>
    </row>
    <row r="8" spans="1:5" s="131" customFormat="1">
      <c r="A8" s="361" t="s">
        <v>747</v>
      </c>
      <c r="B8" s="199"/>
      <c r="C8" s="207"/>
      <c r="D8" s="207"/>
      <c r="E8" s="207"/>
    </row>
    <row r="9" spans="1:5" s="131" customFormat="1" ht="12.75">
      <c r="A9" s="149" t="s">
        <v>663</v>
      </c>
      <c r="B9" s="200"/>
      <c r="C9" s="162"/>
      <c r="D9" s="162"/>
      <c r="E9" s="162"/>
    </row>
    <row r="10" spans="1:5" s="131" customFormat="1" ht="13.5" thickBot="1">
      <c r="B10" s="200"/>
      <c r="C10" s="162"/>
      <c r="D10" s="162"/>
      <c r="E10" s="162"/>
    </row>
    <row r="11" spans="1:5" s="131" customFormat="1" ht="15.75" thickBot="1">
      <c r="A11" s="242" t="s">
        <v>664</v>
      </c>
      <c r="B11" s="242" t="s">
        <v>656</v>
      </c>
      <c r="C11" s="162"/>
      <c r="D11" s="162"/>
      <c r="E11" s="162"/>
    </row>
    <row r="12" spans="1:5" s="131" customFormat="1" ht="12.75">
      <c r="A12" s="149" t="s">
        <v>665</v>
      </c>
      <c r="B12" s="208"/>
      <c r="C12" s="162"/>
      <c r="D12" s="162"/>
      <c r="E12" s="162"/>
    </row>
    <row r="13" spans="1:5" s="131" customFormat="1" ht="25.5">
      <c r="A13" s="209" t="s">
        <v>730</v>
      </c>
      <c r="B13" s="210">
        <f>+INT!C19</f>
        <v>773240</v>
      </c>
      <c r="C13" s="162"/>
      <c r="D13" s="162"/>
      <c r="E13" s="162"/>
    </row>
    <row r="14" spans="1:5" s="131" customFormat="1">
      <c r="A14" s="209"/>
      <c r="B14" s="210"/>
      <c r="C14" s="162"/>
      <c r="D14" s="162"/>
      <c r="E14" s="162"/>
    </row>
    <row r="15" spans="1:5" s="131" customFormat="1">
      <c r="A15" s="149" t="s">
        <v>666</v>
      </c>
      <c r="B15" s="210"/>
      <c r="C15" s="162"/>
      <c r="D15" s="162"/>
      <c r="E15" s="162"/>
    </row>
    <row r="16" spans="1:5" s="131" customFormat="1" ht="25.5">
      <c r="A16" s="209" t="s">
        <v>667</v>
      </c>
      <c r="B16" s="210">
        <f>+GOB!C19</f>
        <v>929650</v>
      </c>
      <c r="C16" s="162"/>
      <c r="D16" s="162"/>
      <c r="E16" s="162"/>
    </row>
    <row r="17" spans="1:5" s="131" customFormat="1">
      <c r="B17" s="211"/>
      <c r="C17" s="162"/>
      <c r="D17" s="162"/>
      <c r="E17" s="162"/>
    </row>
    <row r="18" spans="1:5" s="131" customFormat="1">
      <c r="A18" s="149" t="s">
        <v>668</v>
      </c>
      <c r="B18" s="210"/>
      <c r="C18" s="162"/>
      <c r="D18" s="162"/>
      <c r="E18" s="162"/>
    </row>
    <row r="19" spans="1:5" s="131" customFormat="1">
      <c r="A19" s="212" t="s">
        <v>669</v>
      </c>
      <c r="B19" s="210">
        <f>+GOB!I19</f>
        <v>1704210</v>
      </c>
      <c r="C19" s="213"/>
      <c r="D19" s="214"/>
      <c r="E19" s="213"/>
    </row>
    <row r="20" spans="1:5" s="131" customFormat="1">
      <c r="B20" s="210"/>
      <c r="C20" s="162"/>
      <c r="D20" s="162"/>
      <c r="E20" s="162"/>
    </row>
    <row r="21" spans="1:5" s="131" customFormat="1">
      <c r="A21" s="149" t="s">
        <v>670</v>
      </c>
      <c r="B21" s="210"/>
      <c r="C21" s="162"/>
      <c r="D21" s="162"/>
      <c r="E21" s="162"/>
    </row>
    <row r="22" spans="1:5" s="131" customFormat="1">
      <c r="A22" s="131" t="s">
        <v>671</v>
      </c>
      <c r="B22" s="210">
        <f>+OBRAS!I19</f>
        <v>1684670</v>
      </c>
      <c r="C22" s="162"/>
      <c r="D22" s="215"/>
      <c r="E22" s="216"/>
    </row>
    <row r="23" spans="1:5" s="131" customFormat="1">
      <c r="B23" s="210"/>
      <c r="C23" s="162"/>
      <c r="D23" s="152"/>
      <c r="E23" s="162"/>
    </row>
    <row r="24" spans="1:5" s="131" customFormat="1">
      <c r="A24" s="149" t="s">
        <v>672</v>
      </c>
      <c r="B24" s="217"/>
      <c r="C24" s="162"/>
      <c r="D24" s="162"/>
      <c r="E24" s="162"/>
    </row>
    <row r="25" spans="1:5" s="131" customFormat="1">
      <c r="A25" s="131" t="s">
        <v>673</v>
      </c>
      <c r="B25" s="218">
        <f>+'OBRAS A'!D22</f>
        <v>1496250</v>
      </c>
      <c r="C25" s="162"/>
      <c r="D25" s="162"/>
      <c r="E25" s="162"/>
    </row>
    <row r="26" spans="1:5" s="131" customFormat="1">
      <c r="B26" s="218"/>
      <c r="C26" s="162"/>
      <c r="D26" s="162"/>
      <c r="E26" s="162"/>
    </row>
    <row r="27" spans="1:5" s="131" customFormat="1">
      <c r="A27" s="149" t="s">
        <v>680</v>
      </c>
      <c r="B27" s="217"/>
      <c r="C27" s="162"/>
      <c r="D27" s="162"/>
      <c r="E27" s="162"/>
    </row>
    <row r="28" spans="1:5" s="131" customFormat="1">
      <c r="A28" s="131" t="s">
        <v>681</v>
      </c>
      <c r="B28" s="218">
        <f>+'OBRAS D'!H114</f>
        <v>0</v>
      </c>
      <c r="C28" s="162"/>
      <c r="D28" s="162"/>
      <c r="E28" s="162"/>
    </row>
    <row r="29" spans="1:5" s="131" customFormat="1">
      <c r="B29" s="218"/>
      <c r="C29" s="162"/>
      <c r="D29" s="162"/>
      <c r="E29" s="162"/>
    </row>
    <row r="30" spans="1:5" s="131" customFormat="1">
      <c r="A30" s="149" t="s">
        <v>682</v>
      </c>
      <c r="B30" s="217"/>
      <c r="C30" s="162"/>
      <c r="D30" s="162"/>
      <c r="E30" s="162"/>
    </row>
    <row r="31" spans="1:5" s="131" customFormat="1">
      <c r="A31" s="131" t="s">
        <v>674</v>
      </c>
      <c r="B31" s="218">
        <f>+'OJURIS B'!E114</f>
        <v>445700</v>
      </c>
      <c r="C31" s="162"/>
      <c r="D31" s="162"/>
      <c r="E31" s="162"/>
    </row>
    <row r="32" spans="1:5" s="131" customFormat="1" ht="15.75" thickBot="1">
      <c r="B32" s="219"/>
      <c r="C32" s="162"/>
      <c r="D32" s="162"/>
      <c r="E32" s="162"/>
    </row>
    <row r="33" spans="1:5" s="131" customFormat="1" ht="15.75" thickBot="1">
      <c r="A33" s="242" t="s">
        <v>675</v>
      </c>
      <c r="B33" s="243">
        <f>SUM(B13:B32)</f>
        <v>7033720</v>
      </c>
      <c r="C33" s="162"/>
      <c r="D33" s="162"/>
      <c r="E33" s="162"/>
    </row>
    <row r="36" spans="1:5">
      <c r="B36" s="206"/>
    </row>
  </sheetData>
  <pageMargins left="0.7" right="0.7" top="0.75" bottom="0.75" header="0.3" footer="0.3"/>
  <pageSetup paperSize="9" scale="71" orientation="portrait" r:id="rId1"/>
  <drawing r:id="rId2"/>
</worksheet>
</file>

<file path=xl/worksheets/sheet35.xml><?xml version="1.0" encoding="utf-8"?>
<worksheet xmlns="http://schemas.openxmlformats.org/spreadsheetml/2006/main" xmlns:r="http://schemas.openxmlformats.org/officeDocument/2006/relationships">
  <dimension ref="B1:E57"/>
  <sheetViews>
    <sheetView topLeftCell="A34" workbookViewId="0">
      <selection activeCell="I42" sqref="I42"/>
    </sheetView>
  </sheetViews>
  <sheetFormatPr baseColWidth="10" defaultRowHeight="15"/>
  <cols>
    <col min="1" max="1" width="4.85546875" customWidth="1"/>
    <col min="2" max="2" width="12.5703125" customWidth="1"/>
    <col min="3" max="3" width="71.42578125" customWidth="1"/>
    <col min="4" max="4" width="13" customWidth="1"/>
    <col min="5" max="6" width="14" customWidth="1"/>
  </cols>
  <sheetData>
    <row r="1" spans="2:5" s="1" customFormat="1" ht="12.75">
      <c r="B1" s="95"/>
      <c r="C1" s="95"/>
    </row>
    <row r="2" spans="2:5" s="1" customFormat="1" ht="12.75">
      <c r="B2" s="95"/>
      <c r="C2" s="95"/>
    </row>
    <row r="3" spans="2:5" s="1" customFormat="1" ht="12.75">
      <c r="B3" s="95"/>
      <c r="C3" s="95"/>
    </row>
    <row r="4" spans="2:5" s="1" customFormat="1" ht="12.75">
      <c r="B4" s="95"/>
      <c r="C4" s="95"/>
    </row>
    <row r="5" spans="2:5" s="1" customFormat="1" ht="12.75">
      <c r="B5" s="95"/>
      <c r="C5" s="95"/>
    </row>
    <row r="6" spans="2:5" s="1" customFormat="1" ht="12.75">
      <c r="B6" s="95"/>
      <c r="C6" s="95"/>
    </row>
    <row r="7" spans="2:5" ht="15.75" thickBot="1">
      <c r="B7" s="100"/>
      <c r="C7" s="100"/>
      <c r="D7" s="100"/>
      <c r="E7" s="100"/>
    </row>
    <row r="8" spans="2:5" ht="15" customHeight="1" thickTop="1">
      <c r="B8" s="80"/>
      <c r="C8" s="80"/>
    </row>
    <row r="9" spans="2:5" ht="15" customHeight="1">
      <c r="B9" s="197" t="str">
        <f>+subsidios!A7</f>
        <v>Ordenanza Nº 6355/14</v>
      </c>
      <c r="C9" s="198"/>
      <c r="D9" s="131"/>
      <c r="E9" s="131"/>
    </row>
    <row r="10" spans="2:5" ht="15" customHeight="1">
      <c r="B10" s="390" t="s">
        <v>764</v>
      </c>
      <c r="C10" s="390"/>
      <c r="D10" s="390"/>
      <c r="E10" s="390"/>
    </row>
    <row r="11" spans="2:5" ht="15" customHeight="1"/>
    <row r="12" spans="2:5" ht="15" customHeight="1">
      <c r="B12" s="467" t="s">
        <v>741</v>
      </c>
      <c r="C12" s="467"/>
      <c r="D12" s="467"/>
      <c r="E12" s="467"/>
    </row>
    <row r="13" spans="2:5" ht="15" customHeight="1">
      <c r="B13" s="466" t="s">
        <v>683</v>
      </c>
      <c r="C13" s="466"/>
      <c r="D13" s="466"/>
      <c r="E13" s="466"/>
    </row>
    <row r="14" spans="2:5" ht="15" customHeight="1">
      <c r="B14" s="466" t="s">
        <v>830</v>
      </c>
      <c r="C14" s="466"/>
      <c r="D14" s="466"/>
      <c r="E14" s="466"/>
    </row>
    <row r="15" spans="2:5" ht="15" customHeight="1">
      <c r="B15" s="466" t="s">
        <v>684</v>
      </c>
      <c r="C15" s="466"/>
      <c r="D15" s="466"/>
      <c r="E15" s="466"/>
    </row>
    <row r="16" spans="2:5" ht="15" customHeight="1">
      <c r="B16" s="466" t="s">
        <v>685</v>
      </c>
      <c r="C16" s="466"/>
      <c r="D16" s="466"/>
      <c r="E16" s="466"/>
    </row>
    <row r="17" spans="2:5" ht="15" customHeight="1">
      <c r="B17" s="466" t="s">
        <v>686</v>
      </c>
      <c r="C17" s="466"/>
      <c r="D17" s="466"/>
      <c r="E17" s="466"/>
    </row>
    <row r="18" spans="2:5" ht="15" customHeight="1">
      <c r="B18" s="466" t="s">
        <v>698</v>
      </c>
      <c r="C18" s="466"/>
      <c r="D18" s="466"/>
      <c r="E18" s="466"/>
    </row>
    <row r="19" spans="2:5" ht="15" customHeight="1">
      <c r="B19" s="465" t="s">
        <v>715</v>
      </c>
      <c r="C19" s="465"/>
      <c r="D19" s="465"/>
      <c r="E19" s="465"/>
    </row>
    <row r="20" spans="2:5" ht="15" customHeight="1">
      <c r="B20" s="466" t="s">
        <v>765</v>
      </c>
      <c r="C20" s="466"/>
      <c r="D20" s="466"/>
      <c r="E20" s="466"/>
    </row>
    <row r="21" spans="2:5" ht="15" customHeight="1">
      <c r="B21" s="466" t="s">
        <v>831</v>
      </c>
      <c r="C21" s="466"/>
      <c r="D21" s="466"/>
      <c r="E21" s="466"/>
    </row>
    <row r="22" spans="2:5" ht="15" customHeight="1">
      <c r="B22" s="465" t="s">
        <v>832</v>
      </c>
      <c r="C22" s="465"/>
      <c r="D22" s="465"/>
      <c r="E22" s="465"/>
    </row>
    <row r="23" spans="2:5" ht="15" customHeight="1">
      <c r="B23" s="465" t="s">
        <v>833</v>
      </c>
      <c r="C23" s="465"/>
      <c r="D23" s="465"/>
      <c r="E23" s="465"/>
    </row>
    <row r="24" spans="2:5">
      <c r="B24" s="465" t="s">
        <v>834</v>
      </c>
      <c r="C24" s="465"/>
      <c r="D24" s="465"/>
      <c r="E24" s="465"/>
    </row>
    <row r="25" spans="2:5">
      <c r="B25" s="465"/>
      <c r="C25" s="465"/>
      <c r="D25" s="465"/>
      <c r="E25" s="465"/>
    </row>
    <row r="26" spans="2:5">
      <c r="B26" s="466" t="s">
        <v>835</v>
      </c>
      <c r="C26" s="466"/>
      <c r="D26" s="466"/>
      <c r="E26" s="466"/>
    </row>
    <row r="27" spans="2:5">
      <c r="B27" s="468" t="s">
        <v>836</v>
      </c>
      <c r="C27" s="468"/>
      <c r="D27" s="468"/>
      <c r="E27" s="468"/>
    </row>
    <row r="28" spans="2:5">
      <c r="B28" s="373"/>
      <c r="C28" s="373"/>
      <c r="D28" s="373"/>
      <c r="E28" s="373"/>
    </row>
    <row r="29" spans="2:5">
      <c r="B29" s="374" t="s">
        <v>687</v>
      </c>
      <c r="C29" s="374" t="s">
        <v>688</v>
      </c>
      <c r="D29" s="374" t="s">
        <v>689</v>
      </c>
      <c r="E29" s="374" t="s">
        <v>690</v>
      </c>
    </row>
    <row r="30" spans="2:5">
      <c r="B30" s="375" t="s">
        <v>691</v>
      </c>
      <c r="C30" s="376" t="s">
        <v>837</v>
      </c>
      <c r="D30" s="377" t="s">
        <v>838</v>
      </c>
      <c r="E30" s="378">
        <v>800000</v>
      </c>
    </row>
    <row r="31" spans="2:5">
      <c r="B31" s="375" t="s">
        <v>691</v>
      </c>
      <c r="C31" s="376" t="s">
        <v>839</v>
      </c>
      <c r="D31" s="377" t="s">
        <v>692</v>
      </c>
      <c r="E31" s="378">
        <v>300000</v>
      </c>
    </row>
    <row r="32" spans="2:5">
      <c r="B32" s="375" t="s">
        <v>691</v>
      </c>
      <c r="C32" s="376" t="s">
        <v>840</v>
      </c>
      <c r="D32" s="377" t="s">
        <v>743</v>
      </c>
      <c r="E32" s="378">
        <v>200000</v>
      </c>
    </row>
    <row r="33" spans="2:5">
      <c r="B33" s="375" t="s">
        <v>691</v>
      </c>
      <c r="C33" s="376" t="s">
        <v>841</v>
      </c>
      <c r="D33" s="377" t="s">
        <v>716</v>
      </c>
      <c r="E33" s="378">
        <v>500000</v>
      </c>
    </row>
    <row r="34" spans="2:5">
      <c r="B34" s="375" t="s">
        <v>693</v>
      </c>
      <c r="C34" s="376" t="s">
        <v>842</v>
      </c>
      <c r="D34" s="377" t="s">
        <v>743</v>
      </c>
      <c r="E34" s="378">
        <v>80000</v>
      </c>
    </row>
    <row r="35" spans="2:5">
      <c r="B35" s="375" t="s">
        <v>846</v>
      </c>
      <c r="C35" s="376" t="s">
        <v>744</v>
      </c>
      <c r="D35" s="377" t="s">
        <v>716</v>
      </c>
      <c r="E35" s="378">
        <v>2000000</v>
      </c>
    </row>
    <row r="36" spans="2:5">
      <c r="B36" s="375" t="s">
        <v>694</v>
      </c>
      <c r="C36" s="376" t="s">
        <v>843</v>
      </c>
      <c r="D36" s="377" t="s">
        <v>844</v>
      </c>
      <c r="E36" s="378">
        <v>50000</v>
      </c>
    </row>
    <row r="37" spans="2:5">
      <c r="B37" s="375" t="s">
        <v>694</v>
      </c>
      <c r="C37" s="376" t="s">
        <v>845</v>
      </c>
      <c r="D37" s="377" t="s">
        <v>838</v>
      </c>
      <c r="E37" s="378">
        <v>300000</v>
      </c>
    </row>
    <row r="38" spans="2:5">
      <c r="B38" s="375" t="s">
        <v>846</v>
      </c>
      <c r="C38" s="376" t="s">
        <v>847</v>
      </c>
      <c r="D38" s="377" t="s">
        <v>716</v>
      </c>
      <c r="E38" s="378">
        <v>1760000</v>
      </c>
    </row>
    <row r="39" spans="2:5">
      <c r="B39" s="375" t="s">
        <v>691</v>
      </c>
      <c r="C39" s="376" t="s">
        <v>745</v>
      </c>
      <c r="D39" s="377" t="s">
        <v>743</v>
      </c>
      <c r="E39" s="378">
        <v>500000</v>
      </c>
    </row>
    <row r="40" spans="2:5">
      <c r="B40" s="375" t="s">
        <v>846</v>
      </c>
      <c r="C40" s="376" t="s">
        <v>746</v>
      </c>
      <c r="D40" s="377" t="s">
        <v>716</v>
      </c>
      <c r="E40" s="378">
        <v>700000</v>
      </c>
    </row>
    <row r="41" spans="2:5">
      <c r="B41" s="375" t="s">
        <v>846</v>
      </c>
      <c r="C41" s="376" t="s">
        <v>848</v>
      </c>
      <c r="D41" s="377" t="s">
        <v>716</v>
      </c>
      <c r="E41" s="378">
        <v>21253330</v>
      </c>
    </row>
    <row r="42" spans="2:5">
      <c r="B42" s="375" t="s">
        <v>693</v>
      </c>
      <c r="C42" s="376" t="s">
        <v>849</v>
      </c>
      <c r="D42" s="377" t="s">
        <v>844</v>
      </c>
      <c r="E42" s="378">
        <v>80000</v>
      </c>
    </row>
    <row r="43" spans="2:5">
      <c r="B43" s="375" t="s">
        <v>694</v>
      </c>
      <c r="C43" s="376" t="s">
        <v>850</v>
      </c>
      <c r="D43" s="377" t="s">
        <v>844</v>
      </c>
      <c r="E43" s="378">
        <v>150000</v>
      </c>
    </row>
    <row r="44" spans="2:5">
      <c r="B44" s="375" t="s">
        <v>693</v>
      </c>
      <c r="C44" s="376" t="s">
        <v>851</v>
      </c>
      <c r="D44" s="377" t="s">
        <v>743</v>
      </c>
      <c r="E44" s="378">
        <v>200000</v>
      </c>
    </row>
    <row r="45" spans="2:5">
      <c r="B45" s="375" t="s">
        <v>693</v>
      </c>
      <c r="C45" s="376" t="s">
        <v>852</v>
      </c>
      <c r="D45" s="377" t="s">
        <v>844</v>
      </c>
      <c r="E45" s="378">
        <v>100000</v>
      </c>
    </row>
    <row r="46" spans="2:5">
      <c r="B46" s="375" t="s">
        <v>853</v>
      </c>
      <c r="C46" s="376" t="s">
        <v>854</v>
      </c>
      <c r="D46" s="377" t="s">
        <v>743</v>
      </c>
      <c r="E46" s="378">
        <v>200000</v>
      </c>
    </row>
    <row r="47" spans="2:5">
      <c r="B47" s="375" t="s">
        <v>691</v>
      </c>
      <c r="C47" s="376" t="s">
        <v>723</v>
      </c>
      <c r="D47" s="377" t="s">
        <v>716</v>
      </c>
      <c r="E47" s="378">
        <v>1500000</v>
      </c>
    </row>
    <row r="48" spans="2:5">
      <c r="B48" s="375" t="s">
        <v>693</v>
      </c>
      <c r="C48" s="376" t="s">
        <v>742</v>
      </c>
      <c r="D48" s="377" t="s">
        <v>716</v>
      </c>
      <c r="E48" s="378">
        <v>2200000</v>
      </c>
    </row>
    <row r="49" spans="2:5">
      <c r="B49" s="375" t="s">
        <v>855</v>
      </c>
      <c r="C49" s="376" t="s">
        <v>856</v>
      </c>
      <c r="D49" s="377" t="s">
        <v>716</v>
      </c>
      <c r="E49" s="378">
        <v>10050000</v>
      </c>
    </row>
    <row r="50" spans="2:5">
      <c r="B50" s="375" t="s">
        <v>693</v>
      </c>
      <c r="C50" s="376" t="s">
        <v>857</v>
      </c>
      <c r="D50" s="377" t="s">
        <v>716</v>
      </c>
      <c r="E50" s="378">
        <v>4700000</v>
      </c>
    </row>
    <row r="51" spans="2:5">
      <c r="C51" s="469" t="s">
        <v>239</v>
      </c>
      <c r="D51" s="470"/>
      <c r="E51" s="379">
        <f>SUM(E30:E50)</f>
        <v>47623330</v>
      </c>
    </row>
    <row r="52" spans="2:5">
      <c r="D52" s="380"/>
      <c r="E52" s="381"/>
    </row>
    <row r="53" spans="2:5" ht="15.75" customHeight="1">
      <c r="B53" s="345"/>
      <c r="E53" s="206"/>
    </row>
    <row r="54" spans="2:5">
      <c r="B54" s="345"/>
    </row>
    <row r="57" spans="2:5">
      <c r="C57" s="382"/>
    </row>
  </sheetData>
  <mergeCells count="18">
    <mergeCell ref="B24:E24"/>
    <mergeCell ref="B25:E25"/>
    <mergeCell ref="B26:E26"/>
    <mergeCell ref="B27:E27"/>
    <mergeCell ref="C51:D51"/>
    <mergeCell ref="B10:E10"/>
    <mergeCell ref="B14:E14"/>
    <mergeCell ref="B16:E16"/>
    <mergeCell ref="B17:E17"/>
    <mergeCell ref="B18:E18"/>
    <mergeCell ref="B12:E12"/>
    <mergeCell ref="B13:E13"/>
    <mergeCell ref="B15:E15"/>
    <mergeCell ref="B23:E23"/>
    <mergeCell ref="B19:E19"/>
    <mergeCell ref="B20:E20"/>
    <mergeCell ref="B21:E21"/>
    <mergeCell ref="B22:E22"/>
  </mergeCells>
  <printOptions horizontalCentered="1"/>
  <pageMargins left="0.47244094488188981" right="0" top="0.35433070866141736" bottom="0.35433070866141736" header="0.19685039370078741" footer="0.31496062992125984"/>
  <pageSetup paperSize="9" scale="82" orientation="portrait" r:id="rId1"/>
  <drawing r:id="rId2"/>
</worksheet>
</file>

<file path=xl/worksheets/sheet36.xml><?xml version="1.0" encoding="utf-8"?>
<worksheet xmlns="http://schemas.openxmlformats.org/spreadsheetml/2006/main" xmlns:r="http://schemas.openxmlformats.org/officeDocument/2006/relationships">
  <sheetPr>
    <tabColor rgb="FFFF0000"/>
  </sheetPr>
  <dimension ref="B1:H122"/>
  <sheetViews>
    <sheetView tabSelected="1" workbookViewId="0">
      <selection activeCell="H12" sqref="H12"/>
    </sheetView>
  </sheetViews>
  <sheetFormatPr baseColWidth="10" defaultRowHeight="15"/>
  <cols>
    <col min="1" max="1" width="14.28515625" customWidth="1"/>
    <col min="2" max="2" width="6.85546875" bestFit="1" customWidth="1"/>
    <col min="3" max="3" width="37.140625" bestFit="1" customWidth="1"/>
    <col min="4" max="4" width="17.28515625" bestFit="1" customWidth="1"/>
    <col min="8" max="8" width="11.5703125" bestFit="1" customWidth="1"/>
  </cols>
  <sheetData>
    <row r="1" spans="2:4" s="1" customFormat="1" ht="12.75"/>
    <row r="2" spans="2:4" s="1" customFormat="1" ht="12.75"/>
    <row r="3" spans="2:4" s="1" customFormat="1" ht="12.75"/>
    <row r="4" spans="2:4" s="1" customFormat="1" ht="13.5" thickBot="1">
      <c r="B4" s="6"/>
      <c r="C4" s="6"/>
      <c r="D4" s="6"/>
    </row>
    <row r="5" spans="2:4" ht="15.75" thickTop="1"/>
    <row r="6" spans="2:4" s="20" customFormat="1" ht="12.75">
      <c r="C6" s="20" t="str">
        <f>+resgral!A7</f>
        <v>Ordenanza Nº  6355/14</v>
      </c>
    </row>
    <row r="7" spans="2:4">
      <c r="C7" s="390" t="s">
        <v>747</v>
      </c>
      <c r="D7" s="390"/>
    </row>
    <row r="8" spans="2:4">
      <c r="C8" s="390" t="s">
        <v>238</v>
      </c>
      <c r="D8" s="390"/>
    </row>
    <row r="9" spans="2:4">
      <c r="B9" s="391" t="s">
        <v>717</v>
      </c>
      <c r="C9" s="391"/>
      <c r="D9" s="391"/>
    </row>
    <row r="11" spans="2:4" s="9" customFormat="1" ht="12">
      <c r="B11" s="71" t="s">
        <v>69</v>
      </c>
      <c r="C11" s="71" t="s">
        <v>284</v>
      </c>
      <c r="D11" s="71" t="s">
        <v>239</v>
      </c>
    </row>
    <row r="12" spans="2:4">
      <c r="D12" s="80"/>
    </row>
    <row r="13" spans="2:4" s="83" customFormat="1">
      <c r="B13" s="87" t="s">
        <v>74</v>
      </c>
      <c r="C13" s="20" t="s">
        <v>286</v>
      </c>
      <c r="D13" s="84">
        <f>+'INT B'!C14+'GOB B'!C14+'HAC B'!C14+'OBRAS B'!C14+'OBRAS C'!C14+'OBRAS D'!C14+'ESPEC B'!C14+'OJURIS B'!D14</f>
        <v>72041220</v>
      </c>
    </row>
    <row r="14" spans="2:4">
      <c r="B14" s="87" t="s">
        <v>76</v>
      </c>
      <c r="C14" s="20" t="s">
        <v>287</v>
      </c>
      <c r="D14" s="84">
        <f>+'INT B'!C15+'GOB B'!C15+'HAC B'!C15+'OBRAS B'!C15+'OBRAS C'!C15+'OBRAS D'!C15+'ESPEC B'!C15+'OJURIS B'!D15</f>
        <v>24001230</v>
      </c>
    </row>
    <row r="15" spans="2:4" s="20" customFormat="1" ht="12.75">
      <c r="B15" s="87" t="s">
        <v>77</v>
      </c>
      <c r="C15" s="20" t="s">
        <v>288</v>
      </c>
      <c r="D15" s="84">
        <f>+'INT B'!C16+'GOB B'!C16+'HAC B'!C16+'OBRAS B'!C16+'OBRAS C'!C16+'OBRAS D'!C16+'ESPEC B'!C16+'OJURIS B'!D16</f>
        <v>0</v>
      </c>
    </row>
    <row r="16" spans="2:4" s="20" customFormat="1" ht="12.75">
      <c r="B16" s="87" t="s">
        <v>78</v>
      </c>
      <c r="C16" s="20" t="s">
        <v>289</v>
      </c>
      <c r="D16" s="84">
        <f>+'INT B'!C17+'GOB B'!C17+'HAC B'!C17+'OBRAS B'!C17+'OBRAS C'!C17+'OBRAS D'!C17+'ESPEC B'!C17+'OJURIS B'!D17</f>
        <v>11662180</v>
      </c>
    </row>
    <row r="17" spans="2:4">
      <c r="B17" s="87" t="s">
        <v>79</v>
      </c>
      <c r="C17" s="20" t="s">
        <v>290</v>
      </c>
      <c r="D17" s="84">
        <f>+'INT B'!C18+'GOB B'!C18+'HAC B'!C18+'OBRAS B'!C18+'OBRAS C'!C18+'OBRAS D'!C18+'ESPEC B'!C18+'OJURIS B'!D18</f>
        <v>57970910</v>
      </c>
    </row>
    <row r="18" spans="2:4">
      <c r="B18" s="87" t="s">
        <v>80</v>
      </c>
      <c r="C18" s="20" t="s">
        <v>291</v>
      </c>
      <c r="D18" s="84">
        <f>+'INT B'!C19+'GOB B'!C19+'HAC B'!C19+'OBRAS B'!C19+'OBRAS C'!C19+'OBRAS D'!C19+'ESPEC B'!C19+'OJURIS B'!D19</f>
        <v>4339180</v>
      </c>
    </row>
    <row r="19" spans="2:4">
      <c r="B19" s="87" t="s">
        <v>81</v>
      </c>
      <c r="C19" s="20" t="s">
        <v>292</v>
      </c>
      <c r="D19" s="84">
        <f>+'INT B'!C20+'GOB B'!C20+'HAC B'!C20+'OBRAS B'!C20+'OBRAS C'!C20+'OBRAS D'!C20+'ESPEC B'!C20+'OJURIS B'!D20</f>
        <v>16200200</v>
      </c>
    </row>
    <row r="20" spans="2:4">
      <c r="B20" s="87" t="s">
        <v>82</v>
      </c>
      <c r="C20" s="20" t="s">
        <v>293</v>
      </c>
      <c r="D20" s="84">
        <f>+'INT B'!C21+'GOB B'!C21+'HAC B'!C21+'OBRAS B'!C21+'OBRAS C'!C21+'OBRAS D'!C21+'ESPEC B'!C21+'OJURIS B'!D21</f>
        <v>4418490</v>
      </c>
    </row>
    <row r="21" spans="2:4" s="7" customFormat="1">
      <c r="B21" s="87" t="s">
        <v>93</v>
      </c>
      <c r="C21" s="20" t="s">
        <v>294</v>
      </c>
      <c r="D21" s="84">
        <f>+'INT B'!C22+'GOB B'!C22+'HAC B'!C22+'OBRAS B'!C22+'OBRAS C'!C22+'OBRAS D'!C22+'ESPEC B'!C22+'OJURIS B'!D22</f>
        <v>6059320</v>
      </c>
    </row>
    <row r="22" spans="2:4" s="10" customFormat="1">
      <c r="B22" s="87" t="s">
        <v>94</v>
      </c>
      <c r="C22" s="20" t="s">
        <v>295</v>
      </c>
      <c r="D22" s="84">
        <f>+'INT B'!C23+'GOB B'!C23+'HAC B'!C23+'OBRAS B'!C23+'OBRAS C'!C23+'OBRAS D'!C23+'ESPEC B'!C23+'OJURIS B'!D23</f>
        <v>4550460</v>
      </c>
    </row>
    <row r="23" spans="2:4">
      <c r="B23" s="87" t="s">
        <v>151</v>
      </c>
      <c r="C23" s="20" t="s">
        <v>296</v>
      </c>
      <c r="D23" s="84">
        <f>+'INT B'!C24+'GOB B'!C24+'HAC B'!C24+'OBRAS B'!C24+'OBRAS C'!C24+'OBRAS D'!C24+'ESPEC B'!C24+'OJURIS B'!D24</f>
        <v>18740200</v>
      </c>
    </row>
    <row r="24" spans="2:4">
      <c r="B24" s="87" t="s">
        <v>153</v>
      </c>
      <c r="C24" s="20" t="s">
        <v>297</v>
      </c>
      <c r="D24" s="84">
        <f>+'INT B'!C25+'GOB B'!C25+'HAC B'!C25+'OBRAS B'!C25+'OBRAS C'!C25+'OBRAS D'!C25+'ESPEC B'!C25+'OJURIS B'!D25</f>
        <v>11236160</v>
      </c>
    </row>
    <row r="25" spans="2:4">
      <c r="B25" s="87" t="s">
        <v>155</v>
      </c>
      <c r="C25" s="20" t="s">
        <v>298</v>
      </c>
      <c r="D25" s="84">
        <f>+'INT B'!C26+'GOB B'!C26+'HAC B'!C26+'OBRAS B'!C26+'OBRAS C'!C26+'OBRAS D'!C26+'ESPEC B'!C26+'OJURIS B'!D26</f>
        <v>14577240</v>
      </c>
    </row>
    <row r="26" spans="2:4">
      <c r="B26" s="87" t="s">
        <v>157</v>
      </c>
      <c r="C26" s="20" t="s">
        <v>299</v>
      </c>
      <c r="D26" s="84">
        <f>+'INT B'!C27+'GOB B'!C27+'HAC B'!C27+'OBRAS B'!C27+'OBRAS C'!C27+'OBRAS D'!C27+'ESPEC B'!C27+'OJURIS B'!D27</f>
        <v>0</v>
      </c>
    </row>
    <row r="27" spans="2:4" s="7" customFormat="1">
      <c r="B27" s="67"/>
      <c r="C27" s="89" t="s">
        <v>300</v>
      </c>
      <c r="D27" s="72">
        <f>SUM(D13:D26)</f>
        <v>245796790</v>
      </c>
    </row>
    <row r="29" spans="2:4" s="9" customFormat="1" ht="12">
      <c r="B29" s="71" t="s">
        <v>69</v>
      </c>
      <c r="C29" s="71" t="s">
        <v>301</v>
      </c>
      <c r="D29" s="71" t="s">
        <v>239</v>
      </c>
    </row>
    <row r="30" spans="2:4" s="80" customFormat="1">
      <c r="B30" s="304" t="s">
        <v>303</v>
      </c>
    </row>
    <row r="31" spans="2:4" s="83" customFormat="1">
      <c r="B31" s="87" t="s">
        <v>74</v>
      </c>
      <c r="C31" s="20" t="s">
        <v>286</v>
      </c>
      <c r="D31" s="84">
        <f>+'INT B'!C32+'GOB B'!C32+'HAC B'!C32+'OBRAS B'!C32+'OBRAS C'!C32+'OBRAS D'!C32+'OJURIS B'!D32</f>
        <v>11730360</v>
      </c>
    </row>
    <row r="32" spans="2:4">
      <c r="B32" s="87" t="s">
        <v>76</v>
      </c>
      <c r="C32" s="20" t="s">
        <v>287</v>
      </c>
      <c r="D32" s="84">
        <f>+'INT B'!C33+'GOB B'!C33+'HAC B'!C33+'OBRAS B'!C33+'OBRAS C'!C33+'OBRAS D'!C33+'OJURIS B'!D33</f>
        <v>1410910</v>
      </c>
    </row>
    <row r="33" spans="2:6" s="20" customFormat="1" ht="12.75">
      <c r="B33" s="87" t="s">
        <v>77</v>
      </c>
      <c r="C33" s="20" t="s">
        <v>288</v>
      </c>
      <c r="D33" s="84">
        <f>+'INT B'!C34+'GOB B'!C34+'HAC B'!C34+'OBRAS B'!C34+'OBRAS C'!C34+'OBRAS D'!C34+'OJURIS B'!D34</f>
        <v>0</v>
      </c>
    </row>
    <row r="34" spans="2:6" s="20" customFormat="1" ht="12.75">
      <c r="B34" s="87" t="s">
        <v>78</v>
      </c>
      <c r="C34" s="20" t="s">
        <v>289</v>
      </c>
      <c r="D34" s="84">
        <f>+'INT B'!C35+'GOB B'!C35+'HAC B'!C35+'OBRAS B'!C35+'OBRAS C'!C35+'OBRAS D'!C35+'OJURIS B'!D35</f>
        <v>0</v>
      </c>
    </row>
    <row r="35" spans="2:6">
      <c r="B35" s="87" t="s">
        <v>79</v>
      </c>
      <c r="C35" s="20" t="s">
        <v>290</v>
      </c>
      <c r="D35" s="84">
        <f>+'INT B'!C36+'GOB B'!C36+'HAC B'!C36+'OBRAS B'!C36+'OBRAS C'!C36+'OBRAS D'!C36+'OJURIS B'!D36</f>
        <v>10723600</v>
      </c>
    </row>
    <row r="36" spans="2:6">
      <c r="B36" s="87" t="s">
        <v>80</v>
      </c>
      <c r="C36" s="20" t="s">
        <v>291</v>
      </c>
      <c r="D36" s="84">
        <f>+'INT B'!C37+'GOB B'!C37+'HAC B'!C37+'OBRAS B'!C37+'OBRAS C'!C37+'OBRAS D'!C37+'OJURIS B'!D37</f>
        <v>0</v>
      </c>
    </row>
    <row r="37" spans="2:6">
      <c r="B37" s="87" t="s">
        <v>81</v>
      </c>
      <c r="C37" s="20" t="s">
        <v>292</v>
      </c>
      <c r="D37" s="84">
        <f>+'INT B'!C38+'GOB B'!C38+'HAC B'!C38+'OBRAS B'!C38+'OBRAS C'!C38+'OBRAS D'!C38+'OJURIS B'!D38</f>
        <v>2374470</v>
      </c>
    </row>
    <row r="38" spans="2:6">
      <c r="B38" s="87" t="s">
        <v>82</v>
      </c>
      <c r="C38" s="20" t="s">
        <v>293</v>
      </c>
      <c r="D38" s="84">
        <f>+'INT B'!C39+'GOB B'!C39+'HAC B'!C39+'OBRAS B'!C39+'OBRAS C'!C39+'OBRAS D'!C39+'OJURIS B'!D39</f>
        <v>1239780</v>
      </c>
    </row>
    <row r="39" spans="2:6" s="7" customFormat="1">
      <c r="B39" s="87" t="s">
        <v>93</v>
      </c>
      <c r="C39" s="20" t="s">
        <v>294</v>
      </c>
      <c r="D39" s="84">
        <f>+'INT B'!C40+'GOB B'!C40+'HAC B'!C40+'OBRAS B'!C40+'OBRAS C'!C40+'OBRAS D'!C40+'OJURIS B'!D40</f>
        <v>1824140</v>
      </c>
    </row>
    <row r="40" spans="2:6" s="10" customFormat="1">
      <c r="B40" s="87" t="s">
        <v>94</v>
      </c>
      <c r="C40" s="20" t="s">
        <v>295</v>
      </c>
      <c r="D40" s="84">
        <f>+'INT B'!C41+'GOB B'!C41+'HAC B'!C41+'OBRAS B'!C41+'OBRAS C'!C41+'OBRAS D'!C41+'OJURIS B'!D41</f>
        <v>879650</v>
      </c>
    </row>
    <row r="41" spans="2:6">
      <c r="B41" s="87" t="s">
        <v>151</v>
      </c>
      <c r="C41" s="20" t="s">
        <v>296</v>
      </c>
      <c r="D41" s="84">
        <f>+'INT B'!C42+'GOB B'!C42+'HAC B'!C42+'OBRAS B'!C42+'OBRAS C'!C42+'OBRAS D'!C42+'OJURIS B'!D42</f>
        <v>2686740</v>
      </c>
    </row>
    <row r="42" spans="2:6">
      <c r="B42" s="87" t="s">
        <v>153</v>
      </c>
      <c r="C42" s="20" t="s">
        <v>297</v>
      </c>
      <c r="D42" s="84">
        <f>+'INT B'!C43+'GOB B'!C43+'HAC B'!C43+'OBRAS B'!C43+'OBRAS C'!C43+'OBRAS D'!C43+'OJURIS B'!D43</f>
        <v>1585110</v>
      </c>
    </row>
    <row r="43" spans="2:6">
      <c r="B43" s="87" t="s">
        <v>155</v>
      </c>
      <c r="C43" s="20" t="s">
        <v>298</v>
      </c>
      <c r="D43" s="84">
        <f>+'INT B'!C44+'GOB B'!C44+'HAC B'!C44+'OBRAS B'!C44+'OBRAS C'!C44+'OBRAS D'!C44+'OJURIS B'!D44</f>
        <v>2131250</v>
      </c>
    </row>
    <row r="44" spans="2:6">
      <c r="B44" s="87" t="s">
        <v>157</v>
      </c>
      <c r="C44" s="20" t="s">
        <v>299</v>
      </c>
      <c r="D44" s="84">
        <f>+'INT B'!C45+'GOB B'!C45+'HAC B'!C45+'OBRAS B'!C45+'OBRAS C'!C45+'OBRAS D'!C45+'OJURIS B'!D45</f>
        <v>0</v>
      </c>
    </row>
    <row r="45" spans="2:6" s="7" customFormat="1">
      <c r="B45" s="67"/>
      <c r="C45" s="89" t="s">
        <v>300</v>
      </c>
      <c r="D45" s="72">
        <f>SUM(D31:D44)</f>
        <v>36586010</v>
      </c>
      <c r="F45" s="130"/>
    </row>
    <row r="47" spans="2:6" s="9" customFormat="1" ht="12">
      <c r="B47" s="71" t="s">
        <v>69</v>
      </c>
      <c r="C47" s="71" t="s">
        <v>302</v>
      </c>
      <c r="D47" s="71" t="s">
        <v>239</v>
      </c>
    </row>
    <row r="48" spans="2:6" s="80" customFormat="1">
      <c r="B48" s="304" t="s">
        <v>304</v>
      </c>
    </row>
    <row r="49" spans="2:4" s="83" customFormat="1">
      <c r="B49" s="87" t="s">
        <v>74</v>
      </c>
      <c r="C49" s="20" t="s">
        <v>307</v>
      </c>
      <c r="D49" s="84">
        <f>+'INT B'!C50+'GOB B'!C50+'HAC B'!C50+'OBRAS B'!C50+'OBRAS C'!C50+'OBRAS D'!C50+'ESPEC B'!C33+'OJURIS B'!D50</f>
        <v>420390</v>
      </c>
    </row>
    <row r="50" spans="2:4">
      <c r="B50" s="87" t="s">
        <v>76</v>
      </c>
      <c r="C50" s="20" t="s">
        <v>308</v>
      </c>
      <c r="D50" s="84">
        <f>+'INT B'!C51+'GOB B'!C51+'HAC B'!C51+'OBRAS B'!C51+'OBRAS C'!C51+'OBRAS D'!C51+'ESPEC B'!C34+'OJURIS B'!D51</f>
        <v>1560</v>
      </c>
    </row>
    <row r="51" spans="2:4" s="20" customFormat="1" ht="12.75">
      <c r="B51" s="87" t="s">
        <v>77</v>
      </c>
      <c r="C51" s="20" t="s">
        <v>309</v>
      </c>
      <c r="D51" s="84">
        <f>+'INT B'!C52+'GOB B'!C52+'HAC B'!C52+'OBRAS B'!C52+'OBRAS C'!C52+'OBRAS D'!C52+'ESPEC B'!C35+'OJURIS B'!D52</f>
        <v>4396250</v>
      </c>
    </row>
    <row r="52" spans="2:4" s="20" customFormat="1" ht="12.75">
      <c r="B52" s="87" t="s">
        <v>78</v>
      </c>
      <c r="C52" s="20" t="s">
        <v>310</v>
      </c>
      <c r="D52" s="84">
        <f>+'INT B'!C53+'GOB B'!C53+'HAC B'!C53+'OBRAS B'!C53+'OBRAS C'!C53+'OBRAS D'!C53+'ESPEC B'!C36+'OJURIS B'!D53</f>
        <v>4049670</v>
      </c>
    </row>
    <row r="53" spans="2:4">
      <c r="B53" s="87" t="s">
        <v>79</v>
      </c>
      <c r="C53" s="20" t="s">
        <v>311</v>
      </c>
      <c r="D53" s="84">
        <f>+'INT B'!C54+'GOB B'!C54+'HAC B'!C54+'OBRAS B'!C54+'OBRAS C'!C54+'OBRAS D'!C54+'ESPEC B'!C37+'OJURIS B'!D54</f>
        <v>816480</v>
      </c>
    </row>
    <row r="54" spans="2:4">
      <c r="B54" s="87" t="s">
        <v>80</v>
      </c>
      <c r="C54" s="20" t="s">
        <v>312</v>
      </c>
      <c r="D54" s="84">
        <f>+'INT B'!C55+'GOB B'!C55+'HAC B'!C55+'OBRAS B'!C55+'OBRAS C'!C55+'OBRAS D'!C55+'ESPEC B'!C38+'OJURIS B'!D55</f>
        <v>145400</v>
      </c>
    </row>
    <row r="55" spans="2:4">
      <c r="B55" s="87" t="s">
        <v>81</v>
      </c>
      <c r="C55" s="20" t="s">
        <v>313</v>
      </c>
      <c r="D55" s="84">
        <f>+'INT B'!C56+'GOB B'!C56+'HAC B'!C56+'OBRAS B'!C56+'OBRAS C'!C56+'OBRAS D'!C56+'ESPEC B'!C39+'OJURIS B'!D56</f>
        <v>270060</v>
      </c>
    </row>
    <row r="56" spans="2:4">
      <c r="B56" s="87" t="s">
        <v>82</v>
      </c>
      <c r="C56" s="20" t="s">
        <v>314</v>
      </c>
      <c r="D56" s="84">
        <f>+'INT B'!C57+'GOB B'!C57+'HAC B'!C57+'OBRAS B'!C57+'OBRAS C'!C57+'OBRAS D'!C57+'ESPEC B'!C40+'OJURIS B'!D57</f>
        <v>222570</v>
      </c>
    </row>
    <row r="57" spans="2:4">
      <c r="B57" s="87" t="s">
        <v>93</v>
      </c>
      <c r="C57" s="20" t="s">
        <v>315</v>
      </c>
      <c r="D57" s="84">
        <f>+'INT B'!C58+'GOB B'!C58+'HAC B'!C58+'OBRAS B'!C58+'OBRAS C'!C58+'OBRAS D'!C58+'ESPEC B'!C41+'OJURIS B'!D58</f>
        <v>942190</v>
      </c>
    </row>
    <row r="58" spans="2:4">
      <c r="B58" s="87" t="s">
        <v>94</v>
      </c>
      <c r="C58" s="20" t="s">
        <v>316</v>
      </c>
      <c r="D58" s="84">
        <f>+'INT B'!C59+'GOB B'!C59+'HAC B'!C59+'OBRAS B'!C59+'OBRAS C'!C59+'OBRAS D'!C59+'ESPEC B'!C42+'OJURIS B'!D59</f>
        <v>37870</v>
      </c>
    </row>
    <row r="59" spans="2:4">
      <c r="B59" s="87" t="s">
        <v>151</v>
      </c>
      <c r="C59" s="20" t="s">
        <v>317</v>
      </c>
      <c r="D59" s="84">
        <f>+'INT B'!C60+'GOB B'!C60+'HAC B'!C60+'OBRAS B'!C60+'OBRAS C'!C60+'OBRAS D'!C60+'ESPEC B'!C43+'OJURIS B'!D60</f>
        <v>10630490</v>
      </c>
    </row>
    <row r="60" spans="2:4">
      <c r="B60" s="87" t="s">
        <v>153</v>
      </c>
      <c r="C60" s="20" t="s">
        <v>318</v>
      </c>
      <c r="D60" s="84">
        <f>+'INT B'!C61+'GOB B'!C61+'HAC B'!C61+'OBRAS B'!C61+'OBRAS C'!C61+'OBRAS D'!C61+'ESPEC B'!C44+'OJURIS B'!D61</f>
        <v>1849820</v>
      </c>
    </row>
    <row r="61" spans="2:4">
      <c r="B61" s="87" t="s">
        <v>155</v>
      </c>
      <c r="C61" s="20" t="s">
        <v>319</v>
      </c>
      <c r="D61" s="84">
        <f>+'INT B'!C62+'GOB B'!C62+'HAC B'!C62+'OBRAS B'!C62+'OBRAS C'!C62+'OBRAS D'!C62+'ESPEC B'!C45+'OJURIS B'!D62</f>
        <v>1335700</v>
      </c>
    </row>
    <row r="62" spans="2:4" s="7" customFormat="1">
      <c r="B62" s="87" t="s">
        <v>157</v>
      </c>
      <c r="C62" s="20" t="s">
        <v>320</v>
      </c>
      <c r="D62" s="84">
        <f>+'INT B'!C63+'GOB B'!C63+'HAC B'!C63+'OBRAS B'!C63+'OBRAS C'!C63+'OBRAS D'!C63+'ESPEC B'!C46+'OJURIS B'!D63</f>
        <v>852250</v>
      </c>
    </row>
    <row r="63" spans="2:4" s="10" customFormat="1">
      <c r="B63" s="87" t="s">
        <v>159</v>
      </c>
      <c r="C63" s="20" t="s">
        <v>321</v>
      </c>
      <c r="D63" s="84">
        <f>+'INT B'!C64+'GOB B'!C64+'HAC B'!C64+'OBRAS B'!C64+'OBRAS C'!C64+'OBRAS D'!C64+'ESPEC B'!C47+'OJURIS B'!D64</f>
        <v>2904890</v>
      </c>
    </row>
    <row r="64" spans="2:4">
      <c r="B64" s="87" t="s">
        <v>305</v>
      </c>
      <c r="C64" s="20" t="s">
        <v>322</v>
      </c>
      <c r="D64" s="84">
        <f>+'INT B'!C65+'GOB B'!C65+'HAC B'!C65+'OBRAS B'!C65+'OBRAS C'!C65+'OBRAS D'!C65+'ESPEC B'!C48+'OJURIS B'!D65</f>
        <v>0</v>
      </c>
    </row>
    <row r="65" spans="2:7" s="7" customFormat="1">
      <c r="B65" s="67"/>
      <c r="C65" s="89" t="s">
        <v>300</v>
      </c>
      <c r="D65" s="72">
        <f>SUM(D49:D64)</f>
        <v>28875590</v>
      </c>
      <c r="F65" s="130"/>
    </row>
    <row r="67" spans="2:7" s="9" customFormat="1" ht="12">
      <c r="B67" s="71" t="s">
        <v>69</v>
      </c>
      <c r="C67" s="71" t="s">
        <v>324</v>
      </c>
      <c r="D67" s="71" t="s">
        <v>239</v>
      </c>
    </row>
    <row r="68" spans="2:7" s="80" customFormat="1">
      <c r="B68" s="304" t="s">
        <v>323</v>
      </c>
    </row>
    <row r="69" spans="2:7" s="83" customFormat="1">
      <c r="B69" s="87" t="s">
        <v>74</v>
      </c>
      <c r="C69" s="20" t="s">
        <v>325</v>
      </c>
      <c r="D69" s="84">
        <f>+'INT B'!C70+'GOB B'!C70+'HAC B'!C70+'OBRAS B'!C70+'OBRAS C'!C70+'OBRAS D'!C70+'ESPEC B'!C53+'OJURIS B'!D70</f>
        <v>1933330</v>
      </c>
    </row>
    <row r="70" spans="2:7">
      <c r="B70" s="87" t="s">
        <v>76</v>
      </c>
      <c r="C70" s="20" t="s">
        <v>326</v>
      </c>
      <c r="D70" s="84">
        <f>+'INT B'!C71+'GOB B'!C71+'HAC B'!C71+'OBRAS B'!C71+'OBRAS C'!C71+'OBRAS D'!C71+'ESPEC B'!C54+'OJURIS B'!D71</f>
        <v>0</v>
      </c>
    </row>
    <row r="71" spans="2:7" s="20" customFormat="1" ht="12.75">
      <c r="B71" s="87" t="s">
        <v>77</v>
      </c>
      <c r="C71" s="20" t="s">
        <v>327</v>
      </c>
      <c r="D71" s="84">
        <f>+'INT B'!C72+'GOB B'!C72+'HAC B'!C72+'OBRAS B'!C72+'OBRAS C'!C72+'OBRAS D'!C72+'ESPEC B'!C55+'OJURIS B'!D72</f>
        <v>2485530</v>
      </c>
    </row>
    <row r="72" spans="2:7" s="20" customFormat="1" ht="12.75">
      <c r="B72" s="87" t="s">
        <v>78</v>
      </c>
      <c r="C72" s="20" t="s">
        <v>328</v>
      </c>
      <c r="D72" s="84">
        <f>+'INT B'!C73+'GOB B'!C73+'HAC B'!C73+'OBRAS B'!C73+'OBRAS C'!C73+'OBRAS D'!C73+'ESPEC B'!C56+'OJURIS B'!D73</f>
        <v>0</v>
      </c>
    </row>
    <row r="73" spans="2:7">
      <c r="B73" s="87" t="s">
        <v>79</v>
      </c>
      <c r="C73" s="20" t="s">
        <v>329</v>
      </c>
      <c r="D73" s="84">
        <f>+'INT B'!C74+'GOB B'!C74+'HAC B'!C74+'OBRAS B'!C74+'OBRAS C'!C74+'OBRAS D'!C74+'ESPEC B'!C57+'OJURIS B'!D74</f>
        <v>7797560</v>
      </c>
      <c r="G73" s="94"/>
    </row>
    <row r="74" spans="2:7">
      <c r="B74" s="87" t="s">
        <v>80</v>
      </c>
      <c r="C74" s="20" t="s">
        <v>330</v>
      </c>
      <c r="D74" s="84">
        <f>+'INT B'!C75+'GOB B'!C75+'HAC B'!C75+'OBRAS B'!C75+'OBRAS C'!C75+'OBRAS D'!C75+'ESPEC B'!C58+'OJURIS B'!D75</f>
        <v>1030660</v>
      </c>
      <c r="G74" s="94"/>
    </row>
    <row r="75" spans="2:7">
      <c r="B75" s="87" t="s">
        <v>81</v>
      </c>
      <c r="C75" s="20" t="s">
        <v>331</v>
      </c>
      <c r="D75" s="84">
        <f>+'INT B'!C76+'GOB B'!C76+'HAC B'!C76+'OBRAS B'!C76+'OBRAS C'!C76+'OBRAS D'!C76+'ESPEC B'!C59+'OJURIS B'!D76</f>
        <v>58677700</v>
      </c>
      <c r="G75" s="94"/>
    </row>
    <row r="76" spans="2:7">
      <c r="B76" s="87" t="s">
        <v>82</v>
      </c>
      <c r="C76" s="20" t="s">
        <v>332</v>
      </c>
      <c r="D76" s="84">
        <f>+'INT B'!C77+'GOB B'!C77+'HAC B'!C77+'OBRAS B'!C77+'OBRAS C'!C77+'OBRAS D'!C77+'ESPEC B'!C60+'OJURIS B'!D77</f>
        <v>2991820</v>
      </c>
      <c r="G76" s="94"/>
    </row>
    <row r="77" spans="2:7">
      <c r="B77" s="87" t="s">
        <v>93</v>
      </c>
      <c r="C77" s="20" t="s">
        <v>333</v>
      </c>
      <c r="D77" s="84">
        <f>+'INT B'!C78+'GOB B'!C78+'HAC B'!C78+'OBRAS B'!C78+'OBRAS C'!C78+'OBRAS D'!C78+'ESPEC B'!C61+'OJURIS B'!D78</f>
        <v>482840</v>
      </c>
      <c r="G77" s="94"/>
    </row>
    <row r="78" spans="2:7">
      <c r="B78" s="87" t="s">
        <v>94</v>
      </c>
      <c r="C78" s="20" t="s">
        <v>334</v>
      </c>
      <c r="D78" s="84">
        <f>+'INT B'!C79+'GOB B'!C79+'HAC B'!C79+'OBRAS B'!C79+'OBRAS C'!C79+'OBRAS D'!C79+'ESPEC B'!C62+'OJURIS B'!D79</f>
        <v>438860</v>
      </c>
      <c r="G78" s="94"/>
    </row>
    <row r="79" spans="2:7">
      <c r="B79" s="87" t="s">
        <v>151</v>
      </c>
      <c r="C79" s="20" t="s">
        <v>335</v>
      </c>
      <c r="D79" s="84">
        <f>+'INT B'!C80+'GOB B'!C80+'HAC B'!C80+'OBRAS B'!C80+'OBRAS C'!C80+'OBRAS D'!C80+'ESPEC B'!C63+'OJURIS B'!D80</f>
        <v>848510</v>
      </c>
      <c r="G79" s="94"/>
    </row>
    <row r="80" spans="2:7">
      <c r="B80" s="87" t="s">
        <v>153</v>
      </c>
      <c r="C80" s="20" t="s">
        <v>336</v>
      </c>
      <c r="D80" s="84">
        <f>+'INT B'!C81+'GOB B'!C81+'HAC B'!C81+'OBRAS B'!C81+'OBRAS C'!C81+'OBRAS D'!C81+'ESPEC B'!C64+'OJURIS B'!D81</f>
        <v>1891130</v>
      </c>
      <c r="G80" s="94"/>
    </row>
    <row r="81" spans="2:7">
      <c r="B81" s="87" t="s">
        <v>155</v>
      </c>
      <c r="C81" s="20" t="s">
        <v>337</v>
      </c>
      <c r="D81" s="84">
        <f>+'INT B'!C82+'GOB B'!C82+'HAC B'!C82+'OBRAS B'!C82+'OBRAS C'!C82+'OBRAS D'!C82+'ESPEC B'!C65+'OJURIS B'!D82</f>
        <v>780100</v>
      </c>
      <c r="G81" s="94"/>
    </row>
    <row r="82" spans="2:7" s="7" customFormat="1">
      <c r="B82" s="87" t="s">
        <v>157</v>
      </c>
      <c r="C82" s="20" t="s">
        <v>338</v>
      </c>
      <c r="D82" s="84">
        <f>+'INT B'!C83+'GOB B'!C83+'HAC B'!C83+'OBRAS B'!C83+'OBRAS C'!C83+'OBRAS D'!C83+'ESPEC B'!C66+'OJURIS B'!D83</f>
        <v>849210</v>
      </c>
      <c r="G82" s="94"/>
    </row>
    <row r="83" spans="2:7" s="10" customFormat="1">
      <c r="B83" s="87" t="s">
        <v>159</v>
      </c>
      <c r="C83" s="20" t="s">
        <v>339</v>
      </c>
      <c r="D83" s="84">
        <f>+'INT B'!C84+'GOB B'!C84+'HAC B'!C84+'OBRAS B'!C84+'OBRAS C'!C84+'OBRAS D'!C84+'ESPEC B'!C67+'OJURIS B'!D84</f>
        <v>133310</v>
      </c>
      <c r="G83" s="94"/>
    </row>
    <row r="84" spans="2:7" s="10" customFormat="1">
      <c r="B84" s="87" t="s">
        <v>305</v>
      </c>
      <c r="C84" s="20" t="s">
        <v>340</v>
      </c>
      <c r="D84" s="84">
        <f>+'INT B'!C85+'GOB B'!C85+'HAC B'!C85+'OBRAS B'!C85+'OBRAS C'!C85+'OBRAS D'!C85+'ESPEC B'!C68+'OJURIS B'!D85</f>
        <v>4108300</v>
      </c>
      <c r="G84" s="94"/>
    </row>
    <row r="85" spans="2:7" s="10" customFormat="1">
      <c r="B85" s="87" t="s">
        <v>129</v>
      </c>
      <c r="C85" s="20" t="s">
        <v>341</v>
      </c>
      <c r="D85" s="84">
        <f>+'INT B'!C86+'GOB B'!C86+'HAC B'!C86+'OBRAS B'!C86+'OBRAS C'!C86+'OBRAS D'!C86+'ESPEC B'!C69+'OJURIS B'!D86</f>
        <v>1217160</v>
      </c>
      <c r="G85" s="94"/>
    </row>
    <row r="86" spans="2:7" s="10" customFormat="1">
      <c r="B86" s="87" t="s">
        <v>306</v>
      </c>
      <c r="C86" s="20" t="s">
        <v>342</v>
      </c>
      <c r="D86" s="84">
        <f>+'INT B'!C87+'GOB B'!C87+'HAC B'!C87+'OBRAS B'!C87+'OBRAS C'!C87+'OBRAS D'!C87+'ESPEC B'!C70+'OJURIS B'!D87</f>
        <v>21023410</v>
      </c>
      <c r="G86" s="94"/>
    </row>
    <row r="87" spans="2:7" s="10" customFormat="1">
      <c r="B87" s="87" t="s">
        <v>216</v>
      </c>
      <c r="C87" s="20" t="s">
        <v>343</v>
      </c>
      <c r="D87" s="84">
        <f>+'INT B'!C88+'GOB B'!C88+'HAC B'!C88+'OBRAS B'!C88+'OBRAS C'!C88+'OBRAS D'!C88+'ESPEC B'!C71+'OJURIS B'!D88</f>
        <v>119060</v>
      </c>
      <c r="G87" s="94"/>
    </row>
    <row r="88" spans="2:7" s="10" customFormat="1">
      <c r="B88" s="87" t="s">
        <v>347</v>
      </c>
      <c r="C88" s="20" t="s">
        <v>344</v>
      </c>
      <c r="D88" s="84">
        <f>+'INT B'!C89+'GOB B'!C89+'HAC B'!C89+'OBRAS B'!C89+'OBRAS C'!C89+'OBRAS D'!C89+'ESPEC B'!C72+'OJURIS B'!D89</f>
        <v>8166920</v>
      </c>
      <c r="G88" s="94"/>
    </row>
    <row r="89" spans="2:7" s="10" customFormat="1">
      <c r="B89" s="87" t="s">
        <v>218</v>
      </c>
      <c r="C89" s="20" t="s">
        <v>345</v>
      </c>
      <c r="D89" s="84">
        <f>+'INT B'!C90+'GOB B'!C90+'HAC B'!C90+'OBRAS B'!C90+'OBRAS C'!C90+'OBRAS D'!C90+'ESPEC B'!C73+'OJURIS B'!D90</f>
        <v>23872320</v>
      </c>
      <c r="G89" s="94"/>
    </row>
    <row r="90" spans="2:7">
      <c r="B90" s="87" t="s">
        <v>348</v>
      </c>
      <c r="C90" s="20" t="s">
        <v>346</v>
      </c>
      <c r="D90" s="84">
        <f>+'INT B'!C91+'GOB B'!C91+'HAC B'!C91+'OBRAS B'!C91+'OBRAS C'!C91+'OBRAS D'!C91+'ESPEC B'!C74+'OJURIS B'!D91</f>
        <v>30323890</v>
      </c>
      <c r="G90" s="94"/>
    </row>
    <row r="91" spans="2:7" s="7" customFormat="1">
      <c r="B91" s="67"/>
      <c r="C91" s="89" t="s">
        <v>300</v>
      </c>
      <c r="D91" s="72">
        <f>SUM(D69:D90)</f>
        <v>169171620</v>
      </c>
      <c r="F91" s="130"/>
      <c r="G91" s="94"/>
    </row>
    <row r="93" spans="2:7" s="9" customFormat="1" ht="12">
      <c r="B93" s="71" t="s">
        <v>69</v>
      </c>
      <c r="C93" s="71" t="s">
        <v>349</v>
      </c>
      <c r="D93" s="71" t="s">
        <v>239</v>
      </c>
    </row>
    <row r="94" spans="2:7" s="80" customFormat="1">
      <c r="B94" s="304" t="s">
        <v>350</v>
      </c>
    </row>
    <row r="95" spans="2:7" s="83" customFormat="1">
      <c r="B95" s="87" t="s">
        <v>74</v>
      </c>
      <c r="C95" s="20" t="s">
        <v>351</v>
      </c>
      <c r="D95" s="84">
        <f>+'INT B'!C96+'GOB B'!C96+'HAC B'!C96+'OBRAS B'!C96+'OBRAS C'!C96+'OBRAS D'!C96+'ESPEC B'!C79+'OJURIS B'!D96</f>
        <v>1999900</v>
      </c>
    </row>
    <row r="96" spans="2:7">
      <c r="B96" s="87" t="s">
        <v>76</v>
      </c>
      <c r="C96" s="20" t="s">
        <v>352</v>
      </c>
      <c r="D96" s="84">
        <f>+'INT B'!C97+'GOB B'!C97+'HAC B'!C97+'OBRAS B'!C97+'OBRAS C'!C97+'OBRAS D'!C97+'ESPEC B'!C80+'OJURIS B'!D97</f>
        <v>569500</v>
      </c>
    </row>
    <row r="97" spans="2:4" s="20" customFormat="1" ht="12.75">
      <c r="B97" s="87" t="s">
        <v>77</v>
      </c>
      <c r="C97" s="20" t="s">
        <v>353</v>
      </c>
      <c r="D97" s="84">
        <f>+'INT B'!C98+'GOB B'!C98+'HAC B'!C98+'OBRAS B'!C98+'OBRAS C'!C98+'OBRAS D'!C98+'ESPEC B'!C81+'OJURIS B'!D98</f>
        <v>2036220</v>
      </c>
    </row>
    <row r="98" spans="2:4" s="20" customFormat="1" ht="12.75">
      <c r="B98" s="87" t="s">
        <v>78</v>
      </c>
      <c r="C98" s="20" t="s">
        <v>354</v>
      </c>
      <c r="D98" s="84">
        <f>+'INT B'!C99+'GOB B'!C99+'HAC B'!C99+'OBRAS B'!C99+'OBRAS C'!C99+'OBRAS D'!C99+'ESPEC B'!C82+'OJURIS B'!D99</f>
        <v>284260</v>
      </c>
    </row>
    <row r="99" spans="2:4">
      <c r="B99" s="87" t="s">
        <v>79</v>
      </c>
      <c r="C99" s="20" t="s">
        <v>355</v>
      </c>
      <c r="D99" s="84">
        <f>+'INT B'!C100+'GOB B'!C100+'HAC B'!C100+'OBRAS B'!C100+'OBRAS C'!C100+'OBRAS D'!C100+'ESPEC B'!C83+'OJURIS B'!D100</f>
        <v>167460</v>
      </c>
    </row>
    <row r="100" spans="2:4">
      <c r="B100" s="87" t="s">
        <v>80</v>
      </c>
      <c r="C100" s="20" t="s">
        <v>356</v>
      </c>
      <c r="D100" s="84">
        <f>+'INT B'!C101+'GOB B'!C101+'HAC B'!C101+'OBRAS B'!C101+'OBRAS C'!C101+'OBRAS D'!C101+'ESPEC B'!C84+'OJURIS B'!D101</f>
        <v>3845380</v>
      </c>
    </row>
    <row r="101" spans="2:4">
      <c r="B101" s="87" t="s">
        <v>81</v>
      </c>
      <c r="C101" s="20" t="s">
        <v>357</v>
      </c>
      <c r="D101" s="84">
        <f>+'INT B'!C102+'GOB B'!C102+'HAC B'!C102+'OBRAS B'!C102+'OBRAS C'!C102+'OBRAS D'!C102+'ESPEC B'!C85+'OJURIS B'!D102</f>
        <v>34330</v>
      </c>
    </row>
    <row r="102" spans="2:4">
      <c r="B102" s="87" t="s">
        <v>82</v>
      </c>
      <c r="C102" s="20" t="s">
        <v>358</v>
      </c>
      <c r="D102" s="84">
        <f>+'INT B'!C103+'GOB B'!C103+'HAC B'!C103+'OBRAS B'!C103+'OBRAS C'!C103+'OBRAS D'!C103+'ESPEC B'!C86+'OJURIS B'!D103</f>
        <v>344540</v>
      </c>
    </row>
    <row r="103" spans="2:4">
      <c r="B103" s="87" t="s">
        <v>93</v>
      </c>
      <c r="C103" s="20" t="s">
        <v>359</v>
      </c>
      <c r="D103" s="84">
        <f>+'INT B'!C104+'GOB B'!C104+'HAC B'!C104+'OBRAS B'!C104+'OBRAS C'!C104+'OBRAS D'!C104+'ESPEC B'!C87+'OJURIS B'!D104</f>
        <v>703150</v>
      </c>
    </row>
    <row r="104" spans="2:4">
      <c r="B104" s="87" t="s">
        <v>94</v>
      </c>
      <c r="C104" s="20" t="s">
        <v>360</v>
      </c>
      <c r="D104" s="84">
        <f>+'INT B'!C105+'GOB B'!C105+'HAC B'!C105+'OBRAS B'!C105+'OBRAS C'!C105+'OBRAS D'!C105+'ESPEC B'!C88+'OJURIS B'!D105</f>
        <v>1080520</v>
      </c>
    </row>
    <row r="105" spans="2:4">
      <c r="B105" s="87" t="s">
        <v>362</v>
      </c>
      <c r="C105" s="20" t="s">
        <v>361</v>
      </c>
      <c r="D105" s="84">
        <f>+'INT B'!C106+'GOB B'!C106+'HAC B'!C106+'OBRAS B'!C106+'OBRAS C'!C106+'OBRAS D'!C106+'ESPEC B'!C89+'OJURIS B'!D106</f>
        <v>1149730</v>
      </c>
    </row>
    <row r="106" spans="2:4" s="7" customFormat="1">
      <c r="B106" s="67"/>
      <c r="C106" s="89" t="s">
        <v>300</v>
      </c>
      <c r="D106" s="72">
        <f>SUM(D95:D105)</f>
        <v>12214990</v>
      </c>
    </row>
    <row r="108" spans="2:4" s="9" customFormat="1" ht="12">
      <c r="B108" s="71" t="s">
        <v>69</v>
      </c>
      <c r="C108" s="71" t="s">
        <v>375</v>
      </c>
      <c r="D108" s="71" t="s">
        <v>239</v>
      </c>
    </row>
    <row r="109" spans="2:4" s="80" customFormat="1">
      <c r="B109" s="9"/>
    </row>
    <row r="110" spans="2:4" s="10" customFormat="1">
      <c r="B110" s="90" t="s">
        <v>366</v>
      </c>
      <c r="C110" s="91" t="s">
        <v>364</v>
      </c>
      <c r="D110" s="92">
        <f>+'HAC B'!C111</f>
        <v>833650</v>
      </c>
    </row>
    <row r="111" spans="2:4" s="10" customFormat="1">
      <c r="B111" s="90" t="s">
        <v>367</v>
      </c>
      <c r="C111" s="91" t="s">
        <v>369</v>
      </c>
      <c r="D111" s="92">
        <f>+'INT B'!C113+'GOB B'!C113+'HAC B'!C113+'OBRAS B'!C113+'OBRAS C'!C113+'OBRAS D'!C113+'ESPEC B'!C96+'OJURIS B'!D113</f>
        <v>7033720</v>
      </c>
    </row>
    <row r="112" spans="2:4" s="10" customFormat="1">
      <c r="B112" s="90" t="s">
        <v>386</v>
      </c>
      <c r="C112" s="91" t="s">
        <v>387</v>
      </c>
      <c r="D112" s="92">
        <f>+'OBRAS B'!C115</f>
        <v>138762330</v>
      </c>
    </row>
    <row r="113" spans="2:8" s="10" customFormat="1">
      <c r="B113" s="90" t="s">
        <v>371</v>
      </c>
      <c r="C113" s="91" t="s">
        <v>372</v>
      </c>
      <c r="D113" s="92">
        <f>+'INT B'!C117+'GOB B'!C117+'HAC B'!C117+'OBRAS B'!C117+'OBRAS C'!C117+'OBRAS D'!C117+'ESPEC B'!C100</f>
        <v>2276690</v>
      </c>
      <c r="E113"/>
    </row>
    <row r="114" spans="2:8" s="10" customFormat="1">
      <c r="B114" s="90" t="s">
        <v>376</v>
      </c>
      <c r="C114" s="91" t="s">
        <v>377</v>
      </c>
      <c r="D114" s="92">
        <f>+'INT B'!C119</f>
        <v>1384920</v>
      </c>
      <c r="E114"/>
      <c r="H114" s="86"/>
    </row>
    <row r="115" spans="2:8" s="10" customFormat="1">
      <c r="B115" s="90" t="s">
        <v>380</v>
      </c>
      <c r="C115" s="91" t="s">
        <v>381</v>
      </c>
      <c r="D115" s="92">
        <f>+'HAC B'!C121</f>
        <v>44552280</v>
      </c>
    </row>
    <row r="116" spans="2:8" s="7" customFormat="1">
      <c r="B116" s="67"/>
      <c r="C116" s="89" t="s">
        <v>300</v>
      </c>
      <c r="D116" s="72">
        <f>+D110+D111+D112+D113+D114+D115</f>
        <v>194843590</v>
      </c>
    </row>
    <row r="117" spans="2:8">
      <c r="B117" s="67"/>
      <c r="C117" s="89" t="s">
        <v>393</v>
      </c>
      <c r="D117" s="72">
        <f>+D27+D45+D65+D91+D106+D116</f>
        <v>687488590</v>
      </c>
    </row>
    <row r="119" spans="2:8">
      <c r="B119" s="67"/>
      <c r="C119" s="89" t="s">
        <v>420</v>
      </c>
      <c r="D119" s="72">
        <f>+D27+D45+D65+D91+D106+D116</f>
        <v>687488590</v>
      </c>
    </row>
    <row r="121" spans="2:8">
      <c r="D121" s="94"/>
    </row>
    <row r="122" spans="2:8">
      <c r="D122" s="94"/>
    </row>
  </sheetData>
  <mergeCells count="3">
    <mergeCell ref="C7:D7"/>
    <mergeCell ref="C8:D8"/>
    <mergeCell ref="B9:D9"/>
  </mergeCells>
  <printOptions horizontalCentered="1"/>
  <pageMargins left="1.26" right="0.70866141732283472" top="0.74803149606299213" bottom="0.74803149606299213" header="0.31496062992125984" footer="0.31496062992125984"/>
  <pageSetup paperSize="9" scale="95" orientation="portrait" r:id="rId1"/>
  <rowBreaks count="2" manualBreakCount="2">
    <brk id="45" max="16383" man="1"/>
    <brk id="91" max="16383" man="1"/>
  </rowBreaks>
  <drawing r:id="rId2"/>
</worksheet>
</file>

<file path=xl/worksheets/sheet4.xml><?xml version="1.0" encoding="utf-8"?>
<worksheet xmlns="http://schemas.openxmlformats.org/spreadsheetml/2006/main" xmlns:r="http://schemas.openxmlformats.org/officeDocument/2006/relationships">
  <dimension ref="A1:N31"/>
  <sheetViews>
    <sheetView workbookViewId="0">
      <selection activeCell="A10" sqref="A10"/>
    </sheetView>
  </sheetViews>
  <sheetFormatPr baseColWidth="10" defaultRowHeight="15"/>
  <cols>
    <col min="1" max="1" width="32.5703125" customWidth="1"/>
    <col min="2" max="2" width="11.7109375" customWidth="1"/>
    <col min="3" max="3" width="15.85546875" bestFit="1" customWidth="1"/>
    <col min="4" max="4" width="7.140625" bestFit="1" customWidth="1"/>
    <col min="6" max="6" width="7.140625" bestFit="1" customWidth="1"/>
    <col min="8" max="8" width="7.140625" bestFit="1" customWidth="1"/>
    <col min="9" max="9" width="11" customWidth="1"/>
    <col min="10" max="10" width="7.140625" bestFit="1" customWidth="1"/>
    <col min="12" max="12" width="12.7109375" bestFit="1" customWidth="1"/>
    <col min="13" max="13" width="12" bestFit="1" customWidth="1"/>
    <col min="14" max="14" width="14.5703125" style="118" bestFit="1" customWidth="1"/>
  </cols>
  <sheetData>
    <row r="1" spans="1:14" s="1" customFormat="1" ht="15" customHeight="1">
      <c r="A1"/>
      <c r="N1" s="117"/>
    </row>
    <row r="2" spans="1:14" s="1" customFormat="1" ht="15" customHeight="1">
      <c r="N2" s="117"/>
    </row>
    <row r="3" spans="1:14" s="1" customFormat="1" ht="15" customHeight="1">
      <c r="N3" s="117"/>
    </row>
    <row r="4" spans="1:14" s="1" customFormat="1" ht="15" customHeight="1">
      <c r="N4" s="117"/>
    </row>
    <row r="5" spans="1:14" s="1" customFormat="1" ht="15" customHeight="1" thickBot="1">
      <c r="A5" s="6"/>
      <c r="B5" s="6"/>
      <c r="C5" s="6"/>
      <c r="D5" s="6"/>
      <c r="E5" s="6"/>
      <c r="F5" s="6"/>
      <c r="G5" s="6"/>
      <c r="H5" s="6"/>
      <c r="I5" s="6"/>
      <c r="J5" s="6"/>
      <c r="N5" s="117"/>
    </row>
    <row r="6" spans="1:14" ht="7.5" customHeight="1" thickTop="1"/>
    <row r="7" spans="1:14" s="20" customFormat="1" ht="12.75">
      <c r="A7" s="20" t="s">
        <v>867</v>
      </c>
      <c r="N7" s="115"/>
    </row>
    <row r="8" spans="1:14">
      <c r="A8" s="390" t="s">
        <v>747</v>
      </c>
      <c r="B8" s="390"/>
      <c r="C8" s="390"/>
      <c r="D8" s="390"/>
      <c r="E8" s="390"/>
      <c r="F8" s="390"/>
      <c r="G8" s="390"/>
      <c r="H8" s="390"/>
      <c r="I8" s="390"/>
      <c r="J8" s="390"/>
    </row>
    <row r="9" spans="1:14">
      <c r="A9" s="390" t="s">
        <v>238</v>
      </c>
      <c r="B9" s="390"/>
      <c r="C9" s="390"/>
      <c r="D9" s="390"/>
      <c r="E9" s="390"/>
      <c r="F9" s="390"/>
      <c r="G9" s="390"/>
      <c r="H9" s="390"/>
      <c r="I9" s="390"/>
      <c r="J9" s="390"/>
    </row>
    <row r="10" spans="1:14" ht="7.5" customHeight="1"/>
    <row r="11" spans="1:14" s="9" customFormat="1" ht="12">
      <c r="A11" s="71" t="s">
        <v>3</v>
      </c>
      <c r="B11" s="71" t="s">
        <v>239</v>
      </c>
      <c r="C11" s="71" t="s">
        <v>240</v>
      </c>
      <c r="D11" s="71" t="s">
        <v>241</v>
      </c>
      <c r="E11" s="71" t="s">
        <v>242</v>
      </c>
      <c r="F11" s="71" t="s">
        <v>5</v>
      </c>
      <c r="G11" s="71" t="s">
        <v>243</v>
      </c>
      <c r="H11" s="71" t="s">
        <v>5</v>
      </c>
      <c r="I11" s="71" t="s">
        <v>244</v>
      </c>
      <c r="J11" s="71" t="s">
        <v>5</v>
      </c>
      <c r="N11" s="116"/>
    </row>
    <row r="13" spans="1:14" s="7" customFormat="1">
      <c r="A13" s="67" t="s">
        <v>245</v>
      </c>
      <c r="B13" s="72">
        <f>SUM(B14:B18)</f>
        <v>488297380</v>
      </c>
      <c r="C13" s="72">
        <f>SUM(C14:C18)</f>
        <v>453048310</v>
      </c>
      <c r="D13" s="109">
        <f>+C13/$C$27</f>
        <v>0.69629549129582047</v>
      </c>
      <c r="E13" s="72">
        <f>SUM(E14:E18)</f>
        <v>20490170</v>
      </c>
      <c r="F13" s="109">
        <f>+E13/$C$27</f>
        <v>3.1491592997852438E-2</v>
      </c>
      <c r="G13" s="72">
        <f>SUM(G14:G18)</f>
        <v>7194910</v>
      </c>
      <c r="H13" s="109">
        <f>+G13/$C$27</f>
        <v>1.1057945218423201E-2</v>
      </c>
      <c r="I13" s="72">
        <f>SUM(I14:I18)</f>
        <v>7563990</v>
      </c>
      <c r="J13" s="109">
        <f>+I13/$C$27</f>
        <v>1.1625188786614551E-2</v>
      </c>
      <c r="N13" s="121"/>
    </row>
    <row r="14" spans="1:14">
      <c r="A14" t="s">
        <v>246</v>
      </c>
      <c r="B14" s="70">
        <f>+C14+E14+G14+I14</f>
        <v>282382800</v>
      </c>
      <c r="C14" s="76">
        <f>+INT!B15+GOB!B15+HAC!B15+OBRAS!B15</f>
        <v>254449950</v>
      </c>
      <c r="D14" s="110">
        <f>+C14/$B$14</f>
        <v>0.90108161686901611</v>
      </c>
      <c r="E14" s="76">
        <f>+'OJURIS A'!C16</f>
        <v>18711770</v>
      </c>
      <c r="F14" s="110">
        <f>+E14/$B$14</f>
        <v>6.6263844681758235E-2</v>
      </c>
      <c r="G14" s="76">
        <f>+'ESPEC A'!C16</f>
        <v>1850650</v>
      </c>
      <c r="H14" s="110">
        <f>+G14/$B$14</f>
        <v>6.5536923636992052E-3</v>
      </c>
      <c r="I14" s="76">
        <f>+'OJURIS A'!D16</f>
        <v>7370430</v>
      </c>
      <c r="J14" s="110">
        <f>+I14/$B$14</f>
        <v>2.6100846085526454E-2</v>
      </c>
      <c r="L14" s="94"/>
      <c r="M14" s="94"/>
    </row>
    <row r="15" spans="1:14">
      <c r="A15" t="s">
        <v>247</v>
      </c>
      <c r="B15" s="70">
        <f t="shared" ref="B15:B23" si="0">+C15+E15+G15+I15</f>
        <v>28875590</v>
      </c>
      <c r="C15" s="76">
        <f>SUM(erogcons!C16:F16)</f>
        <v>25886030</v>
      </c>
      <c r="D15" s="110">
        <f>+C15/$B$15</f>
        <v>0.89646757001328803</v>
      </c>
      <c r="E15" s="76">
        <f>+erogcons!G16</f>
        <v>364530</v>
      </c>
      <c r="F15" s="110">
        <f>+E15/$B$15</f>
        <v>1.2624157636259554E-2</v>
      </c>
      <c r="G15" s="76">
        <f>+erogcons!H16</f>
        <v>2572050</v>
      </c>
      <c r="H15" s="110">
        <f>+G15/$B$15</f>
        <v>8.9073504645273055E-2</v>
      </c>
      <c r="I15" s="76">
        <f>+erogcons!I16</f>
        <v>52980</v>
      </c>
      <c r="J15" s="110">
        <f>+I15/$B$15</f>
        <v>1.8347677051793574E-3</v>
      </c>
      <c r="L15" s="94"/>
    </row>
    <row r="16" spans="1:14">
      <c r="A16" t="s">
        <v>248</v>
      </c>
      <c r="B16" s="70">
        <f t="shared" si="0"/>
        <v>169171620</v>
      </c>
      <c r="C16" s="76">
        <f>SUM(erogcons!C17:F17)</f>
        <v>165290660</v>
      </c>
      <c r="D16" s="110">
        <f>+C16/$B$16</f>
        <v>0.97705903626151946</v>
      </c>
      <c r="E16" s="76">
        <f>+erogcons!G17</f>
        <v>968170</v>
      </c>
      <c r="F16" s="110">
        <f>+E16/$B$16</f>
        <v>5.7230048397006539E-3</v>
      </c>
      <c r="G16" s="76">
        <f>+erogcons!H17</f>
        <v>2772210</v>
      </c>
      <c r="H16" s="110">
        <f>+G16/$B$16</f>
        <v>1.6386968452509941E-2</v>
      </c>
      <c r="I16" s="76">
        <f>+erogcons!I17</f>
        <v>140580</v>
      </c>
      <c r="J16" s="110">
        <f>+I16/$B$16</f>
        <v>8.3099044626988854E-4</v>
      </c>
      <c r="L16" s="94"/>
    </row>
    <row r="17" spans="1:14">
      <c r="A17" t="s">
        <v>249</v>
      </c>
      <c r="B17" s="70">
        <f t="shared" si="0"/>
        <v>833650</v>
      </c>
      <c r="C17" s="76">
        <f>SUM(erogcons!C18:F18)</f>
        <v>833650</v>
      </c>
      <c r="D17" s="110">
        <f>+C17/$B$17</f>
        <v>1</v>
      </c>
      <c r="E17" s="76">
        <f>+erogcons!G18</f>
        <v>0</v>
      </c>
      <c r="F17" s="110">
        <f>+E17/$B$17</f>
        <v>0</v>
      </c>
      <c r="G17" s="76">
        <f>+erogcons!H18</f>
        <v>0</v>
      </c>
      <c r="H17" s="110">
        <f>+G17/$B$17</f>
        <v>0</v>
      </c>
      <c r="I17" s="76">
        <f>+erogcons!I18</f>
        <v>0</v>
      </c>
      <c r="J17" s="110">
        <f>+I17/$B$17</f>
        <v>0</v>
      </c>
      <c r="L17" s="94"/>
    </row>
    <row r="18" spans="1:14">
      <c r="A18" t="s">
        <v>250</v>
      </c>
      <c r="B18" s="70">
        <f t="shared" si="0"/>
        <v>7033720</v>
      </c>
      <c r="C18" s="76">
        <f>SUM(erogcons!C19:F19)</f>
        <v>6588020</v>
      </c>
      <c r="D18" s="110">
        <f>+C18/$B$18</f>
        <v>0.93663381539213952</v>
      </c>
      <c r="E18" s="76">
        <f>+erogcons!G19</f>
        <v>445700</v>
      </c>
      <c r="F18" s="110">
        <f>+E18/$B$18</f>
        <v>6.3366184607860421E-2</v>
      </c>
      <c r="G18" s="76">
        <f>+erogcons!H19</f>
        <v>0</v>
      </c>
      <c r="H18" s="110">
        <f>+G18/$B$18</f>
        <v>0</v>
      </c>
      <c r="I18" s="76">
        <f>+erogcons!I19</f>
        <v>0</v>
      </c>
      <c r="J18" s="110">
        <f>+I18/$B$18</f>
        <v>0</v>
      </c>
      <c r="L18" s="94"/>
    </row>
    <row r="19" spans="1:14" s="7" customFormat="1">
      <c r="A19" s="67" t="s">
        <v>251</v>
      </c>
      <c r="B19" s="74">
        <f>SUM(B20:B23)</f>
        <v>154638930</v>
      </c>
      <c r="C19" s="72">
        <f t="shared" ref="C19:I19" si="1">SUM(C20:C23)</f>
        <v>153054650</v>
      </c>
      <c r="D19" s="111">
        <f>+C19/$C$27</f>
        <v>0.23523156441497345</v>
      </c>
      <c r="E19" s="72">
        <f t="shared" si="1"/>
        <v>704400</v>
      </c>
      <c r="F19" s="111">
        <f>+E19/$C$27</f>
        <v>1.082600979283591E-3</v>
      </c>
      <c r="G19" s="72">
        <f t="shared" si="1"/>
        <v>861840</v>
      </c>
      <c r="H19" s="111">
        <f>+G19/$C$27</f>
        <v>1.3245724417742337E-3</v>
      </c>
      <c r="I19" s="72">
        <f t="shared" si="1"/>
        <v>18040</v>
      </c>
      <c r="J19" s="111">
        <f>+I19/$C$27</f>
        <v>2.7725896743719455E-5</v>
      </c>
      <c r="N19" s="121"/>
    </row>
    <row r="20" spans="1:14">
      <c r="A20" t="s">
        <v>252</v>
      </c>
      <c r="B20" s="70">
        <f t="shared" si="0"/>
        <v>12214990</v>
      </c>
      <c r="C20" s="76">
        <f>SUM(erogcons!C21:F21)</f>
        <v>10630710</v>
      </c>
      <c r="D20" s="110">
        <f>+C20/$B$20</f>
        <v>0.87030034408542289</v>
      </c>
      <c r="E20" s="76">
        <f>+erogcons!G21</f>
        <v>704400</v>
      </c>
      <c r="F20" s="110">
        <f>+E20/$B$20</f>
        <v>5.7666850320794369E-2</v>
      </c>
      <c r="G20" s="76">
        <f>+erogcons!H21</f>
        <v>861840</v>
      </c>
      <c r="H20" s="110">
        <f>+G20/$B$20</f>
        <v>7.055593168721383E-2</v>
      </c>
      <c r="I20" s="76">
        <f>+erogcons!I21</f>
        <v>18040</v>
      </c>
      <c r="J20" s="110">
        <f>+I20/$B$20</f>
        <v>1.476873906568896E-3</v>
      </c>
      <c r="L20" s="94"/>
    </row>
    <row r="21" spans="1:14">
      <c r="A21" t="s">
        <v>253</v>
      </c>
      <c r="B21" s="70">
        <f t="shared" si="0"/>
        <v>138762330</v>
      </c>
      <c r="C21" s="76">
        <f>SUM(erogcons!C22:F22)</f>
        <v>138762330</v>
      </c>
      <c r="D21" s="110">
        <f>+C21/$B$21</f>
        <v>1</v>
      </c>
      <c r="E21" s="76">
        <f>+erogcons!G22</f>
        <v>0</v>
      </c>
      <c r="F21" s="110">
        <f>+E21/$B$21</f>
        <v>0</v>
      </c>
      <c r="G21" s="76">
        <f>+erogcons!H22</f>
        <v>0</v>
      </c>
      <c r="H21" s="110">
        <f>+G21/$B$21</f>
        <v>0</v>
      </c>
      <c r="I21" s="76">
        <f>+erogcons!I22</f>
        <v>0</v>
      </c>
      <c r="J21" s="110">
        <f>+I21/$B$21</f>
        <v>0</v>
      </c>
      <c r="L21" s="94"/>
    </row>
    <row r="22" spans="1:14">
      <c r="A22" t="s">
        <v>254</v>
      </c>
      <c r="B22" s="70">
        <f t="shared" si="0"/>
        <v>2276690</v>
      </c>
      <c r="C22" s="76">
        <f>SUM(erogcons!C23:F23)</f>
        <v>2276690</v>
      </c>
      <c r="D22" s="110">
        <f>+C22/$B$22</f>
        <v>1</v>
      </c>
      <c r="E22" s="76">
        <v>0</v>
      </c>
      <c r="F22" s="110">
        <f>+E22/$B$22</f>
        <v>0</v>
      </c>
      <c r="G22" s="76">
        <f>+erogcons!H23</f>
        <v>0</v>
      </c>
      <c r="H22" s="110">
        <f>+G22/$B$22</f>
        <v>0</v>
      </c>
      <c r="I22" s="76">
        <f>+erogcons!I23</f>
        <v>0</v>
      </c>
      <c r="J22" s="110">
        <f>+I22/$B$22</f>
        <v>0</v>
      </c>
      <c r="L22" s="94"/>
    </row>
    <row r="23" spans="1:14">
      <c r="A23" t="s">
        <v>255</v>
      </c>
      <c r="B23" s="70">
        <f t="shared" si="0"/>
        <v>1384920</v>
      </c>
      <c r="C23" s="76">
        <f>SUM(erogcons!C24:F24)</f>
        <v>1384920</v>
      </c>
      <c r="D23" s="110">
        <f>+C23/$B$23</f>
        <v>1</v>
      </c>
      <c r="E23" s="76">
        <v>0</v>
      </c>
      <c r="F23" s="110">
        <f>+E23/$B$23</f>
        <v>0</v>
      </c>
      <c r="G23" s="76">
        <f>+erogcons!H24</f>
        <v>0</v>
      </c>
      <c r="H23" s="110">
        <f>+G23/$B$23</f>
        <v>0</v>
      </c>
      <c r="I23" s="76">
        <f>+erogcons!I24</f>
        <v>0</v>
      </c>
      <c r="J23" s="110">
        <f>+I23/$B$23</f>
        <v>0</v>
      </c>
      <c r="L23" s="94"/>
    </row>
    <row r="24" spans="1:14" s="7" customFormat="1" ht="26.25">
      <c r="A24" s="68" t="s">
        <v>257</v>
      </c>
      <c r="B24" s="77">
        <f>+SUM(B13+B19)-B17</f>
        <v>642102660</v>
      </c>
      <c r="C24" s="78">
        <f t="shared" ref="C24:I24" si="2">+SUM(C13+C19)-C17</f>
        <v>605269310</v>
      </c>
      <c r="D24" s="112">
        <f>+C24/$C$27</f>
        <v>0.93024580882496233</v>
      </c>
      <c r="E24" s="78">
        <f>+SUM(E13+E19)-E17</f>
        <v>21194570</v>
      </c>
      <c r="F24" s="112">
        <f>+E24/$C$27</f>
        <v>3.2574193977136033E-2</v>
      </c>
      <c r="G24" s="78">
        <f t="shared" si="2"/>
        <v>8056750</v>
      </c>
      <c r="H24" s="112">
        <f>+G24/$C$27</f>
        <v>1.2382517660197434E-2</v>
      </c>
      <c r="I24" s="78">
        <f t="shared" si="2"/>
        <v>7582030</v>
      </c>
      <c r="J24" s="112">
        <f>+I24/$C$27</f>
        <v>1.1652914683358271E-2</v>
      </c>
      <c r="L24" s="94"/>
      <c r="N24" s="121"/>
    </row>
    <row r="25" spans="1:14" s="7" customFormat="1">
      <c r="A25" s="67" t="s">
        <v>45</v>
      </c>
      <c r="B25" s="72">
        <f>+B26</f>
        <v>44552280</v>
      </c>
      <c r="C25" s="72">
        <f t="shared" ref="C25:I25" si="3">+C26</f>
        <v>44552280</v>
      </c>
      <c r="D25" s="111">
        <f>+C25/$C$27</f>
        <v>6.8472944289206056E-2</v>
      </c>
      <c r="E25" s="72">
        <f t="shared" si="3"/>
        <v>0</v>
      </c>
      <c r="F25" s="111">
        <f>+E25/$C$27</f>
        <v>0</v>
      </c>
      <c r="G25" s="72">
        <f t="shared" si="3"/>
        <v>0</v>
      </c>
      <c r="H25" s="111">
        <f>+G25/$C$27</f>
        <v>0</v>
      </c>
      <c r="I25" s="72">
        <f t="shared" si="3"/>
        <v>0</v>
      </c>
      <c r="J25" s="111">
        <f>+I25/$C$27</f>
        <v>0</v>
      </c>
      <c r="L25" s="94"/>
      <c r="N25" s="121"/>
    </row>
    <row r="26" spans="1:14">
      <c r="A26" t="s">
        <v>256</v>
      </c>
      <c r="B26" s="70">
        <f>+C26+E26+G26+I26</f>
        <v>44552280</v>
      </c>
      <c r="C26" s="76">
        <f>SUM(erogcons!C26:F26)</f>
        <v>44552280</v>
      </c>
      <c r="D26" s="110">
        <f>+C26/$B$26</f>
        <v>1</v>
      </c>
      <c r="E26" s="76">
        <f>+erogcons!G26</f>
        <v>0</v>
      </c>
      <c r="F26" s="110">
        <f>+E26/$B$26</f>
        <v>0</v>
      </c>
      <c r="G26" s="76">
        <f>+erogcons!H26</f>
        <v>0</v>
      </c>
      <c r="H26" s="110">
        <f>+G26/$B$26</f>
        <v>0</v>
      </c>
      <c r="I26" s="76">
        <f>+erogcons!I26</f>
        <v>0</v>
      </c>
      <c r="J26" s="110">
        <f>+I26/$B$26</f>
        <v>0</v>
      </c>
      <c r="L26" s="94"/>
    </row>
    <row r="27" spans="1:14" s="7" customFormat="1">
      <c r="A27" s="69" t="s">
        <v>48</v>
      </c>
      <c r="B27" s="72">
        <f>+B24+B17+B25</f>
        <v>687488590</v>
      </c>
      <c r="C27" s="72">
        <f t="shared" ref="C27:I27" si="4">+C24+C17+C25</f>
        <v>650655240</v>
      </c>
      <c r="D27" s="111">
        <f>+C27/$B$27</f>
        <v>0.94642332900390391</v>
      </c>
      <c r="E27" s="72">
        <f t="shared" si="4"/>
        <v>21194570</v>
      </c>
      <c r="F27" s="111">
        <f>+E27/$B$27</f>
        <v>3.0828977103460001E-2</v>
      </c>
      <c r="G27" s="72">
        <f t="shared" si="4"/>
        <v>8056750</v>
      </c>
      <c r="H27" s="111">
        <f>+G27/$B$27</f>
        <v>1.1719103585413686E-2</v>
      </c>
      <c r="I27" s="72">
        <f t="shared" si="4"/>
        <v>7582030</v>
      </c>
      <c r="J27" s="111">
        <f>+I27/$B$27</f>
        <v>1.1028590307222409E-2</v>
      </c>
      <c r="L27" s="130"/>
      <c r="N27" s="121"/>
    </row>
    <row r="28" spans="1:14">
      <c r="H28" s="113"/>
      <c r="J28" s="113"/>
    </row>
    <row r="29" spans="1:14">
      <c r="B29" s="94"/>
      <c r="C29" s="94"/>
      <c r="E29" s="94"/>
      <c r="G29" s="94"/>
      <c r="I29" s="94"/>
    </row>
    <row r="31" spans="1:14">
      <c r="I31" s="308"/>
    </row>
  </sheetData>
  <mergeCells count="2">
    <mergeCell ref="A8:J8"/>
    <mergeCell ref="A9:J9"/>
  </mergeCells>
  <printOptions horizontalCentered="1"/>
  <pageMargins left="0" right="0"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dimension ref="A1:K30"/>
  <sheetViews>
    <sheetView workbookViewId="0">
      <selection activeCell="A8" sqref="A8:I8"/>
    </sheetView>
  </sheetViews>
  <sheetFormatPr baseColWidth="10" defaultRowHeight="15"/>
  <cols>
    <col min="1" max="1" width="32.5703125" customWidth="1"/>
    <col min="2" max="2" width="11.7109375" customWidth="1"/>
    <col min="3" max="3" width="15.85546875" bestFit="1" customWidth="1"/>
    <col min="4" max="4" width="14.5703125" customWidth="1"/>
    <col min="5" max="5" width="12" bestFit="1" customWidth="1"/>
    <col min="6" max="6" width="12.5703125" bestFit="1" customWidth="1"/>
    <col min="7" max="7" width="12" bestFit="1" customWidth="1"/>
  </cols>
  <sheetData>
    <row r="1" spans="1:11" s="1" customFormat="1" ht="15" customHeight="1">
      <c r="A1"/>
    </row>
    <row r="2" spans="1:11" s="1" customFormat="1" ht="15" customHeight="1"/>
    <row r="3" spans="1:11" s="1" customFormat="1" ht="15" customHeight="1"/>
    <row r="4" spans="1:11" s="1" customFormat="1" ht="15" customHeight="1"/>
    <row r="5" spans="1:11" s="1" customFormat="1" ht="15" customHeight="1" thickBot="1">
      <c r="A5" s="6"/>
      <c r="B5" s="6"/>
      <c r="C5" s="6"/>
      <c r="D5" s="6"/>
      <c r="E5" s="6"/>
      <c r="F5" s="6"/>
      <c r="G5" s="6"/>
      <c r="H5" s="6"/>
      <c r="I5" s="6"/>
    </row>
    <row r="6" spans="1:11" ht="7.5" customHeight="1" thickTop="1"/>
    <row r="7" spans="1:11" s="20" customFormat="1" ht="12.75">
      <c r="A7" s="20" t="s">
        <v>867</v>
      </c>
    </row>
    <row r="8" spans="1:11">
      <c r="A8" s="390" t="s">
        <v>747</v>
      </c>
      <c r="B8" s="390"/>
      <c r="C8" s="390"/>
      <c r="D8" s="390"/>
      <c r="E8" s="390"/>
      <c r="F8" s="390"/>
      <c r="G8" s="390"/>
      <c r="H8" s="390"/>
      <c r="I8" s="390"/>
    </row>
    <row r="9" spans="1:11">
      <c r="A9" s="390" t="s">
        <v>238</v>
      </c>
      <c r="B9" s="390"/>
      <c r="C9" s="390"/>
      <c r="D9" s="390"/>
      <c r="E9" s="390"/>
      <c r="F9" s="390"/>
      <c r="G9" s="390"/>
      <c r="H9" s="390"/>
      <c r="I9" s="390"/>
    </row>
    <row r="10" spans="1:11">
      <c r="A10" s="391" t="s">
        <v>2</v>
      </c>
      <c r="B10" s="391"/>
      <c r="C10" s="391"/>
      <c r="D10" s="391"/>
      <c r="E10" s="391"/>
      <c r="F10" s="391"/>
      <c r="G10" s="391"/>
      <c r="H10" s="391"/>
      <c r="I10" s="391"/>
    </row>
    <row r="11" spans="1:11" ht="7.5" customHeight="1"/>
    <row r="12" spans="1:11" s="9" customFormat="1">
      <c r="A12" s="71" t="s">
        <v>3</v>
      </c>
      <c r="B12" s="71" t="s">
        <v>239</v>
      </c>
      <c r="C12" s="71" t="s">
        <v>258</v>
      </c>
      <c r="D12" s="71" t="s">
        <v>259</v>
      </c>
      <c r="E12" s="71" t="s">
        <v>260</v>
      </c>
      <c r="F12" s="71" t="s">
        <v>261</v>
      </c>
      <c r="G12" s="71" t="s">
        <v>242</v>
      </c>
      <c r="H12" s="71" t="s">
        <v>262</v>
      </c>
      <c r="I12" s="71" t="s">
        <v>244</v>
      </c>
      <c r="K12"/>
    </row>
    <row r="14" spans="1:11" s="7" customFormat="1">
      <c r="A14" s="67" t="s">
        <v>245</v>
      </c>
      <c r="B14" s="72">
        <f>SUM(B15:B19)</f>
        <v>488297380</v>
      </c>
      <c r="C14" s="72">
        <f t="shared" ref="C14:I14" si="0">SUM(C15:C19)</f>
        <v>19033110</v>
      </c>
      <c r="D14" s="72">
        <f t="shared" si="0"/>
        <v>150502830</v>
      </c>
      <c r="E14" s="72">
        <f t="shared" si="0"/>
        <v>56014490</v>
      </c>
      <c r="F14" s="72">
        <f t="shared" si="0"/>
        <v>227497880</v>
      </c>
      <c r="G14" s="72">
        <f t="shared" si="0"/>
        <v>20490170</v>
      </c>
      <c r="H14" s="72">
        <f t="shared" si="0"/>
        <v>7194910</v>
      </c>
      <c r="I14" s="72">
        <f t="shared" si="0"/>
        <v>7563990</v>
      </c>
      <c r="K14"/>
    </row>
    <row r="15" spans="1:11">
      <c r="A15" t="s">
        <v>246</v>
      </c>
      <c r="B15" s="70">
        <f>SUM(C15:I15)</f>
        <v>282382800</v>
      </c>
      <c r="C15" s="76">
        <f>+INT!B15</f>
        <v>7636960</v>
      </c>
      <c r="D15" s="76">
        <f>+GOB!B15</f>
        <v>102828190</v>
      </c>
      <c r="E15" s="76">
        <f>+HAC!B15</f>
        <v>27927650</v>
      </c>
      <c r="F15" s="76">
        <f>+OBRAS!B15</f>
        <v>116057150</v>
      </c>
      <c r="G15" s="76">
        <f>+'OJURIS A'!C16</f>
        <v>18711770</v>
      </c>
      <c r="H15" s="76">
        <f>+'ESPEC A'!C16</f>
        <v>1850650</v>
      </c>
      <c r="I15" s="76">
        <f>+'OJURIS A'!D16</f>
        <v>7370430</v>
      </c>
    </row>
    <row r="16" spans="1:11">
      <c r="A16" t="s">
        <v>247</v>
      </c>
      <c r="B16" s="70">
        <f t="shared" ref="B16:B24" si="1">SUM(C16:I16)</f>
        <v>28875590</v>
      </c>
      <c r="C16" s="76">
        <f>+INT!B16</f>
        <v>519030</v>
      </c>
      <c r="D16" s="76">
        <f>+GOB!B16</f>
        <v>4333660</v>
      </c>
      <c r="E16" s="76">
        <f>+HAC!B16</f>
        <v>1406650</v>
      </c>
      <c r="F16" s="76">
        <f>+OBRAS!B16</f>
        <v>19626690</v>
      </c>
      <c r="G16" s="76">
        <f>+'OJURIS A'!C19</f>
        <v>364530</v>
      </c>
      <c r="H16" s="76">
        <f>+'ESPEC A'!C19</f>
        <v>2572050</v>
      </c>
      <c r="I16" s="76">
        <f>+'OJURIS A'!D19</f>
        <v>52980</v>
      </c>
    </row>
    <row r="17" spans="1:11">
      <c r="A17" t="s">
        <v>248</v>
      </c>
      <c r="B17" s="70">
        <f t="shared" si="1"/>
        <v>169171620</v>
      </c>
      <c r="C17" s="76">
        <f>+INT!B17</f>
        <v>10103880</v>
      </c>
      <c r="D17" s="76">
        <f>+GOB!B17</f>
        <v>40707120</v>
      </c>
      <c r="E17" s="76">
        <f>+HAC!B17</f>
        <v>25846540</v>
      </c>
      <c r="F17" s="76">
        <f>+OBRAS!B17</f>
        <v>88633120</v>
      </c>
      <c r="G17" s="76">
        <f>+'OJURIS A'!C20</f>
        <v>968170</v>
      </c>
      <c r="H17" s="76">
        <f>+'ESPEC A'!C20</f>
        <v>2772210</v>
      </c>
      <c r="I17" s="76">
        <f>+'OJURIS A'!D20</f>
        <v>140580</v>
      </c>
    </row>
    <row r="18" spans="1:11">
      <c r="A18" t="s">
        <v>249</v>
      </c>
      <c r="B18" s="70">
        <f t="shared" si="1"/>
        <v>833650</v>
      </c>
      <c r="C18" s="76">
        <f>+INT!B18</f>
        <v>0</v>
      </c>
      <c r="D18" s="76">
        <f>+GOB!B18</f>
        <v>0</v>
      </c>
      <c r="E18" s="76">
        <f>+HAC!B18</f>
        <v>833650</v>
      </c>
      <c r="F18" s="76">
        <f>+OBRAS!B18</f>
        <v>0</v>
      </c>
      <c r="G18" s="76">
        <f>+'OJURIS A'!C21</f>
        <v>0</v>
      </c>
      <c r="H18" s="76">
        <f>+'ESPEC A'!C21</f>
        <v>0</v>
      </c>
      <c r="I18" s="76">
        <f>+'OJURIS A'!D21</f>
        <v>0</v>
      </c>
    </row>
    <row r="19" spans="1:11">
      <c r="A19" t="s">
        <v>250</v>
      </c>
      <c r="B19" s="70">
        <f t="shared" si="1"/>
        <v>7033720</v>
      </c>
      <c r="C19" s="76">
        <f>+INT!B19</f>
        <v>773240</v>
      </c>
      <c r="D19" s="76">
        <f>+GOB!B19</f>
        <v>2633860</v>
      </c>
      <c r="E19" s="76">
        <f>+HAC!B19</f>
        <v>0</v>
      </c>
      <c r="F19" s="76">
        <f>+OBRAS!B19</f>
        <v>3180920</v>
      </c>
      <c r="G19" s="76">
        <f>+'OJURIS A'!B22</f>
        <v>445700</v>
      </c>
      <c r="H19" s="76">
        <v>0</v>
      </c>
      <c r="I19" s="76">
        <f>+'OJURIS A'!D22</f>
        <v>0</v>
      </c>
    </row>
    <row r="20" spans="1:11" s="7" customFormat="1">
      <c r="A20" s="67" t="s">
        <v>251</v>
      </c>
      <c r="B20" s="74">
        <f>SUM(B21:B24)</f>
        <v>154638930</v>
      </c>
      <c r="C20" s="74">
        <f t="shared" ref="C20:I20" si="2">SUM(C21:C24)</f>
        <v>1477090</v>
      </c>
      <c r="D20" s="74">
        <f t="shared" si="2"/>
        <v>4183290</v>
      </c>
      <c r="E20" s="74">
        <f t="shared" si="2"/>
        <v>733030</v>
      </c>
      <c r="F20" s="74">
        <f t="shared" si="2"/>
        <v>146661240</v>
      </c>
      <c r="G20" s="74">
        <f t="shared" si="2"/>
        <v>704400</v>
      </c>
      <c r="H20" s="74">
        <f t="shared" si="2"/>
        <v>861840</v>
      </c>
      <c r="I20" s="74">
        <f t="shared" si="2"/>
        <v>18040</v>
      </c>
      <c r="K20"/>
    </row>
    <row r="21" spans="1:11">
      <c r="A21" t="s">
        <v>252</v>
      </c>
      <c r="B21" s="70">
        <f t="shared" si="1"/>
        <v>12214990</v>
      </c>
      <c r="C21" s="76">
        <f>+INT!B21</f>
        <v>92170</v>
      </c>
      <c r="D21" s="76">
        <f>+GOB!B21</f>
        <v>3967830</v>
      </c>
      <c r="E21" s="76">
        <f>+HAC!B21</f>
        <v>733030</v>
      </c>
      <c r="F21" s="76">
        <f>+OBRAS!B21</f>
        <v>5837680</v>
      </c>
      <c r="G21" s="76">
        <f>+'OJURIS A'!C25</f>
        <v>704400</v>
      </c>
      <c r="H21" s="76">
        <f>+'ESPEC A'!D25</f>
        <v>861840</v>
      </c>
      <c r="I21" s="76">
        <f>+'OJURIS A'!D25</f>
        <v>18040</v>
      </c>
    </row>
    <row r="22" spans="1:11">
      <c r="A22" t="s">
        <v>253</v>
      </c>
      <c r="B22" s="70">
        <f t="shared" si="1"/>
        <v>138762330</v>
      </c>
      <c r="C22" s="76">
        <f>+INT!B22</f>
        <v>0</v>
      </c>
      <c r="D22" s="76">
        <f>+GOB!B22</f>
        <v>0</v>
      </c>
      <c r="E22" s="76">
        <f>+HAC!B22</f>
        <v>0</v>
      </c>
      <c r="F22" s="76">
        <f>+OBRAS!B22</f>
        <v>138762330</v>
      </c>
      <c r="G22" s="76">
        <v>0</v>
      </c>
      <c r="H22" s="76">
        <f>+'ESPEC A'!D26</f>
        <v>0</v>
      </c>
      <c r="I22" s="76">
        <f>+'OJURIS A'!D26</f>
        <v>0</v>
      </c>
    </row>
    <row r="23" spans="1:11">
      <c r="A23" t="s">
        <v>254</v>
      </c>
      <c r="B23" s="70">
        <f t="shared" si="1"/>
        <v>2276690</v>
      </c>
      <c r="C23" s="76">
        <f>+INT!B23</f>
        <v>0</v>
      </c>
      <c r="D23" s="76">
        <f>+GOB!B23</f>
        <v>215460</v>
      </c>
      <c r="E23" s="76">
        <f>+HAC!B23</f>
        <v>0</v>
      </c>
      <c r="F23" s="76">
        <f>+OBRAS!B23</f>
        <v>2061230</v>
      </c>
      <c r="G23" s="76">
        <f>+'OJURIS A'!C27</f>
        <v>0</v>
      </c>
      <c r="H23" s="76">
        <f>+'ESPEC A'!D27</f>
        <v>0</v>
      </c>
      <c r="I23" s="76">
        <f>+'OJURIS A'!D27</f>
        <v>0</v>
      </c>
    </row>
    <row r="24" spans="1:11">
      <c r="A24" t="s">
        <v>255</v>
      </c>
      <c r="B24" s="70">
        <f t="shared" si="1"/>
        <v>1384920</v>
      </c>
      <c r="C24" s="76">
        <f>+INT!B24</f>
        <v>1384920</v>
      </c>
      <c r="D24" s="76">
        <f>+GOB!B24</f>
        <v>0</v>
      </c>
      <c r="E24" s="76">
        <f>+HAC!B24</f>
        <v>0</v>
      </c>
      <c r="F24" s="76">
        <f>+OBRAS!B24</f>
        <v>0</v>
      </c>
      <c r="G24" s="76">
        <f>+'OJURIS A'!C28</f>
        <v>0</v>
      </c>
      <c r="H24" s="76">
        <f>+'ESPEC A'!D28</f>
        <v>0</v>
      </c>
      <c r="I24" s="76">
        <f>+'OJURIS A'!D28</f>
        <v>0</v>
      </c>
    </row>
    <row r="25" spans="1:11" s="7" customFormat="1">
      <c r="A25" s="67" t="s">
        <v>45</v>
      </c>
      <c r="B25" s="72">
        <f>+B26</f>
        <v>44552280</v>
      </c>
      <c r="C25" s="72">
        <f t="shared" ref="C25:I25" si="3">+C26</f>
        <v>0</v>
      </c>
      <c r="D25" s="72">
        <f t="shared" si="3"/>
        <v>0</v>
      </c>
      <c r="E25" s="72">
        <f t="shared" si="3"/>
        <v>44552280</v>
      </c>
      <c r="F25" s="72">
        <f t="shared" si="3"/>
        <v>0</v>
      </c>
      <c r="G25" s="72">
        <f t="shared" si="3"/>
        <v>0</v>
      </c>
      <c r="H25" s="72">
        <f t="shared" si="3"/>
        <v>0</v>
      </c>
      <c r="I25" s="72">
        <f t="shared" si="3"/>
        <v>0</v>
      </c>
      <c r="K25"/>
    </row>
    <row r="26" spans="1:11">
      <c r="A26" t="s">
        <v>256</v>
      </c>
      <c r="B26" s="70">
        <f>SUM(C26:I26)</f>
        <v>44552280</v>
      </c>
      <c r="C26" s="76">
        <f>+INT!B26</f>
        <v>0</v>
      </c>
      <c r="D26" s="76">
        <f>+GOB!B26</f>
        <v>0</v>
      </c>
      <c r="E26" s="76">
        <f>+HAC!B26</f>
        <v>44552280</v>
      </c>
      <c r="F26" s="76">
        <f>+OBRAS!B26</f>
        <v>0</v>
      </c>
      <c r="G26" s="76">
        <f>+'OJURIS A'!C30</f>
        <v>0</v>
      </c>
      <c r="H26" s="76">
        <f>+'ESPEC A'!D30</f>
        <v>0</v>
      </c>
      <c r="I26" s="76">
        <f>+'OJURIS A'!D30</f>
        <v>0</v>
      </c>
    </row>
    <row r="27" spans="1:11" s="7" customFormat="1">
      <c r="A27" s="69" t="s">
        <v>48</v>
      </c>
      <c r="B27" s="72">
        <f>+B14+B20+B25</f>
        <v>687488590</v>
      </c>
      <c r="C27" s="72">
        <f t="shared" ref="C27:I27" si="4">+C14+C20+C25</f>
        <v>20510200</v>
      </c>
      <c r="D27" s="72">
        <f t="shared" si="4"/>
        <v>154686120</v>
      </c>
      <c r="E27" s="72">
        <f t="shared" si="4"/>
        <v>101299800</v>
      </c>
      <c r="F27" s="72">
        <f t="shared" si="4"/>
        <v>374159120</v>
      </c>
      <c r="G27" s="72">
        <f>+G14+G20+G25</f>
        <v>21194570</v>
      </c>
      <c r="H27" s="72">
        <f t="shared" si="4"/>
        <v>8056750</v>
      </c>
      <c r="I27" s="72">
        <f t="shared" si="4"/>
        <v>7582030</v>
      </c>
      <c r="K27"/>
    </row>
    <row r="28" spans="1:11">
      <c r="B28" s="79">
        <f>SUM(C28:I28)</f>
        <v>1</v>
      </c>
      <c r="C28" s="73">
        <f>+C27/$B$27</f>
        <v>2.9833513309653618E-2</v>
      </c>
      <c r="D28" s="73">
        <f t="shared" ref="D28:I28" si="5">+D27/$B$27</f>
        <v>0.22500172693775181</v>
      </c>
      <c r="E28" s="73">
        <f t="shared" si="5"/>
        <v>0.14734760907086472</v>
      </c>
      <c r="F28" s="73">
        <f t="shared" si="5"/>
        <v>0.54424047968563372</v>
      </c>
      <c r="G28" s="73">
        <f>+G27/$B$27</f>
        <v>3.0828977103460001E-2</v>
      </c>
      <c r="H28" s="73">
        <f t="shared" si="5"/>
        <v>1.1719103585413686E-2</v>
      </c>
      <c r="I28" s="73">
        <f t="shared" si="5"/>
        <v>1.1028590307222409E-2</v>
      </c>
    </row>
    <row r="30" spans="1:11">
      <c r="G30" s="94"/>
    </row>
  </sheetData>
  <mergeCells count="3">
    <mergeCell ref="A8:I8"/>
    <mergeCell ref="A9:I9"/>
    <mergeCell ref="A10:I10"/>
  </mergeCells>
  <printOptions horizontalCentered="1"/>
  <pageMargins left="0" right="0" top="0.74803149606299213" bottom="0.74803149606299213" header="0.31496062992125984" footer="0.31496062992125984"/>
  <pageSetup paperSize="9" scale="97" orientation="landscape" r:id="rId1"/>
  <drawing r:id="rId2"/>
</worksheet>
</file>

<file path=xl/worksheets/sheet6.xml><?xml version="1.0" encoding="utf-8"?>
<worksheet xmlns="http://schemas.openxmlformats.org/spreadsheetml/2006/main" xmlns:r="http://schemas.openxmlformats.org/officeDocument/2006/relationships">
  <dimension ref="A1:G28"/>
  <sheetViews>
    <sheetView workbookViewId="0">
      <selection activeCell="A8" sqref="A8:G8"/>
    </sheetView>
  </sheetViews>
  <sheetFormatPr baseColWidth="10" defaultRowHeight="15"/>
  <cols>
    <col min="1" max="1" width="32.5703125" customWidth="1"/>
    <col min="2" max="2" width="11.7109375" customWidth="1"/>
    <col min="3" max="4" width="15.85546875" bestFit="1" customWidth="1"/>
    <col min="6" max="6" width="12.5703125" bestFit="1" customWidth="1"/>
  </cols>
  <sheetData>
    <row r="1" spans="1:7" s="1" customFormat="1" ht="15" customHeight="1">
      <c r="A1"/>
    </row>
    <row r="2" spans="1:7" s="1" customFormat="1" ht="15" customHeight="1"/>
    <row r="3" spans="1:7" s="1" customFormat="1" ht="15" customHeight="1"/>
    <row r="4" spans="1:7" s="1" customFormat="1" ht="15" customHeight="1"/>
    <row r="5" spans="1:7" s="1" customFormat="1" ht="15" customHeight="1" thickBot="1">
      <c r="A5" s="6"/>
      <c r="B5" s="6"/>
      <c r="C5" s="6"/>
      <c r="D5" s="6"/>
      <c r="E5" s="6"/>
      <c r="F5" s="6"/>
      <c r="G5" s="6"/>
    </row>
    <row r="6" spans="1:7" ht="7.5" customHeight="1" thickTop="1"/>
    <row r="7" spans="1:7" s="20" customFormat="1" ht="12.75">
      <c r="A7" s="20" t="s">
        <v>867</v>
      </c>
    </row>
    <row r="8" spans="1:7">
      <c r="A8" s="390" t="s">
        <v>747</v>
      </c>
      <c r="B8" s="390"/>
      <c r="C8" s="390"/>
      <c r="D8" s="390"/>
      <c r="E8" s="390"/>
      <c r="F8" s="390"/>
      <c r="G8" s="390"/>
    </row>
    <row r="9" spans="1:7">
      <c r="A9" s="390" t="s">
        <v>238</v>
      </c>
      <c r="B9" s="390"/>
      <c r="C9" s="390"/>
      <c r="D9" s="390"/>
      <c r="E9" s="390"/>
      <c r="F9" s="390"/>
      <c r="G9" s="390"/>
    </row>
    <row r="10" spans="1:7">
      <c r="A10" s="391" t="s">
        <v>268</v>
      </c>
      <c r="B10" s="391"/>
      <c r="C10" s="391"/>
      <c r="D10" s="391"/>
      <c r="E10" s="391"/>
      <c r="F10" s="391"/>
      <c r="G10" s="391"/>
    </row>
    <row r="11" spans="1:7" ht="7.5" customHeight="1"/>
    <row r="12" spans="1:7" s="9" customFormat="1" ht="12">
      <c r="A12" s="71" t="s">
        <v>3</v>
      </c>
      <c r="B12" s="71" t="s">
        <v>239</v>
      </c>
      <c r="C12" s="71" t="s">
        <v>258</v>
      </c>
      <c r="D12" s="71" t="s">
        <v>263</v>
      </c>
      <c r="E12" s="71" t="s">
        <v>264</v>
      </c>
      <c r="F12" s="71" t="s">
        <v>265</v>
      </c>
      <c r="G12" s="71" t="s">
        <v>266</v>
      </c>
    </row>
    <row r="13" spans="1:7">
      <c r="C13" s="80">
        <v>111</v>
      </c>
      <c r="D13" s="80">
        <v>121</v>
      </c>
      <c r="E13" s="80">
        <v>131</v>
      </c>
      <c r="F13" s="80">
        <v>133</v>
      </c>
      <c r="G13" s="80">
        <v>141</v>
      </c>
    </row>
    <row r="14" spans="1:7" s="7" customFormat="1">
      <c r="A14" s="67" t="s">
        <v>245</v>
      </c>
      <c r="B14" s="72">
        <f t="shared" ref="B14:G14" si="0">SUM(B15:B19)</f>
        <v>19033110</v>
      </c>
      <c r="C14" s="75">
        <f t="shared" si="0"/>
        <v>1507110</v>
      </c>
      <c r="D14" s="75">
        <f t="shared" si="0"/>
        <v>3134310</v>
      </c>
      <c r="E14" s="75">
        <f t="shared" si="0"/>
        <v>1567750</v>
      </c>
      <c r="F14" s="75">
        <f t="shared" si="0"/>
        <v>4736560</v>
      </c>
      <c r="G14" s="75">
        <f t="shared" si="0"/>
        <v>8087380</v>
      </c>
    </row>
    <row r="15" spans="1:7">
      <c r="A15" t="s">
        <v>246</v>
      </c>
      <c r="B15" s="70">
        <f>SUM(C15:G15)</f>
        <v>7636960</v>
      </c>
      <c r="C15" s="76">
        <f>+'INT A'!C16</f>
        <v>624260</v>
      </c>
      <c r="D15" s="76">
        <f>+'INT A'!D16</f>
        <v>2618020</v>
      </c>
      <c r="E15" s="76">
        <f>+'INT A'!E16</f>
        <v>1432220</v>
      </c>
      <c r="F15" s="76">
        <f>+'INT A'!F16</f>
        <v>1603450</v>
      </c>
      <c r="G15" s="76">
        <f>+'INT A'!G16</f>
        <v>1359010</v>
      </c>
    </row>
    <row r="16" spans="1:7">
      <c r="A16" t="s">
        <v>247</v>
      </c>
      <c r="B16" s="70">
        <f>SUM(C16:G16)</f>
        <v>519030</v>
      </c>
      <c r="C16" s="76">
        <f>+'INT A'!C19</f>
        <v>15800</v>
      </c>
      <c r="D16" s="76">
        <f>+'INT A'!D19</f>
        <v>14960</v>
      </c>
      <c r="E16" s="76">
        <f>+'INT A'!E19</f>
        <v>570</v>
      </c>
      <c r="F16" s="76">
        <f>+'INT A'!F19</f>
        <v>1190</v>
      </c>
      <c r="G16" s="76">
        <f>+'INT A'!G19</f>
        <v>486510</v>
      </c>
    </row>
    <row r="17" spans="1:7">
      <c r="A17" t="s">
        <v>248</v>
      </c>
      <c r="B17" s="70">
        <f>SUM(C17:G17)</f>
        <v>10103880</v>
      </c>
      <c r="C17" s="76">
        <f>+'INT A'!C20</f>
        <v>93810</v>
      </c>
      <c r="D17" s="76">
        <f>+'INT A'!D20</f>
        <v>501330</v>
      </c>
      <c r="E17" s="76">
        <f>+'INT A'!E20</f>
        <v>134960</v>
      </c>
      <c r="F17" s="76">
        <f>+'INT A'!F20</f>
        <v>3131920</v>
      </c>
      <c r="G17" s="76">
        <f>+'INT A'!G20</f>
        <v>6241860</v>
      </c>
    </row>
    <row r="18" spans="1:7">
      <c r="A18" t="s">
        <v>249</v>
      </c>
      <c r="B18" s="70">
        <f>SUM(C18:G18)</f>
        <v>0</v>
      </c>
      <c r="C18" s="76">
        <f>+'INT A'!C21</f>
        <v>0</v>
      </c>
      <c r="D18" s="76">
        <f>+'INT A'!D21</f>
        <v>0</v>
      </c>
      <c r="E18" s="76">
        <f>+'INT A'!E21</f>
        <v>0</v>
      </c>
      <c r="F18" s="76">
        <f>+'INT A'!F21</f>
        <v>0</v>
      </c>
      <c r="G18" s="76">
        <f>+'INT A'!G21</f>
        <v>0</v>
      </c>
    </row>
    <row r="19" spans="1:7">
      <c r="A19" t="s">
        <v>250</v>
      </c>
      <c r="B19" s="70">
        <f>SUM(C19:G19)</f>
        <v>773240</v>
      </c>
      <c r="C19" s="76">
        <f>+'INT A'!C22</f>
        <v>773240</v>
      </c>
      <c r="D19" s="76">
        <f>+'INT A'!D22</f>
        <v>0</v>
      </c>
      <c r="E19" s="76">
        <f>+'INT A'!E22</f>
        <v>0</v>
      </c>
      <c r="F19" s="76">
        <f>+'INT A'!F22</f>
        <v>0</v>
      </c>
      <c r="G19" s="76">
        <f>+'INT A'!G22</f>
        <v>0</v>
      </c>
    </row>
    <row r="20" spans="1:7" s="7" customFormat="1">
      <c r="A20" s="67" t="s">
        <v>251</v>
      </c>
      <c r="B20" s="74">
        <f t="shared" ref="B20:G20" si="1">SUM(B21:B24)</f>
        <v>1477090</v>
      </c>
      <c r="C20" s="72">
        <f t="shared" si="1"/>
        <v>1432800</v>
      </c>
      <c r="D20" s="72">
        <f t="shared" si="1"/>
        <v>0</v>
      </c>
      <c r="E20" s="72">
        <f t="shared" si="1"/>
        <v>17960</v>
      </c>
      <c r="F20" s="72">
        <f t="shared" si="1"/>
        <v>0</v>
      </c>
      <c r="G20" s="72">
        <f t="shared" si="1"/>
        <v>26330</v>
      </c>
    </row>
    <row r="21" spans="1:7">
      <c r="A21" t="s">
        <v>252</v>
      </c>
      <c r="B21" s="70">
        <f>SUM(C21:G21)</f>
        <v>92170</v>
      </c>
      <c r="C21" s="76">
        <f>+'INT A'!C25</f>
        <v>47880</v>
      </c>
      <c r="D21" s="76">
        <f>+'INT A'!D25</f>
        <v>0</v>
      </c>
      <c r="E21" s="76">
        <f>+'INT A'!E25</f>
        <v>17960</v>
      </c>
      <c r="F21" s="76">
        <f>+'INT A'!F25</f>
        <v>0</v>
      </c>
      <c r="G21" s="76">
        <f>+'INT A'!G25</f>
        <v>26330</v>
      </c>
    </row>
    <row r="22" spans="1:7">
      <c r="A22" t="s">
        <v>253</v>
      </c>
      <c r="B22" s="70">
        <f>SUM(C22:G22)</f>
        <v>0</v>
      </c>
      <c r="C22" s="76">
        <f>+'INT A'!C26</f>
        <v>0</v>
      </c>
      <c r="D22" s="76">
        <f>+'INT A'!D26</f>
        <v>0</v>
      </c>
      <c r="E22" s="76">
        <f>+'INT A'!E26</f>
        <v>0</v>
      </c>
      <c r="F22" s="76">
        <f>+'INT A'!F26</f>
        <v>0</v>
      </c>
      <c r="G22" s="76">
        <f>+'INT A'!G26</f>
        <v>0</v>
      </c>
    </row>
    <row r="23" spans="1:7">
      <c r="A23" t="s">
        <v>254</v>
      </c>
      <c r="B23" s="70">
        <f>SUM(C23:G23)</f>
        <v>0</v>
      </c>
      <c r="C23" s="76">
        <f>+'INT A'!C27</f>
        <v>0</v>
      </c>
      <c r="D23" s="76">
        <f>+'INT A'!D27</f>
        <v>0</v>
      </c>
      <c r="E23" s="76">
        <f>+'INT A'!E27</f>
        <v>0</v>
      </c>
      <c r="F23" s="76">
        <f>+'INT A'!F27</f>
        <v>0</v>
      </c>
      <c r="G23" s="76">
        <f>+'INT A'!G27</f>
        <v>0</v>
      </c>
    </row>
    <row r="24" spans="1:7">
      <c r="A24" t="s">
        <v>255</v>
      </c>
      <c r="B24" s="70">
        <f>SUM(C24:G24)</f>
        <v>1384920</v>
      </c>
      <c r="C24" s="76">
        <f>+'INT A'!C28</f>
        <v>1384920</v>
      </c>
      <c r="D24" s="76">
        <f>+'INT A'!D28</f>
        <v>0</v>
      </c>
      <c r="E24" s="76">
        <f>+'INT A'!E28</f>
        <v>0</v>
      </c>
      <c r="F24" s="76">
        <f>+'INT A'!F28</f>
        <v>0</v>
      </c>
      <c r="G24" s="76">
        <f>+'INT A'!G28</f>
        <v>0</v>
      </c>
    </row>
    <row r="25" spans="1:7" s="7" customFormat="1">
      <c r="A25" s="67" t="s">
        <v>45</v>
      </c>
      <c r="B25" s="72">
        <f t="shared" ref="B25:G25" si="2">+B26</f>
        <v>0</v>
      </c>
      <c r="C25" s="72">
        <f t="shared" si="2"/>
        <v>0</v>
      </c>
      <c r="D25" s="72">
        <f t="shared" si="2"/>
        <v>0</v>
      </c>
      <c r="E25" s="72">
        <f t="shared" si="2"/>
        <v>0</v>
      </c>
      <c r="F25" s="72">
        <f t="shared" si="2"/>
        <v>0</v>
      </c>
      <c r="G25" s="72">
        <f t="shared" si="2"/>
        <v>0</v>
      </c>
    </row>
    <row r="26" spans="1:7">
      <c r="A26" t="s">
        <v>256</v>
      </c>
      <c r="B26" s="70">
        <f>SUM(C26:G26)</f>
        <v>0</v>
      </c>
      <c r="C26" s="76">
        <f>+'INT A'!C30</f>
        <v>0</v>
      </c>
      <c r="D26" s="76">
        <f>+'INT A'!D30</f>
        <v>0</v>
      </c>
      <c r="E26" s="76">
        <f>+'INT A'!E30</f>
        <v>0</v>
      </c>
      <c r="F26" s="76">
        <f>+'INT A'!F30</f>
        <v>0</v>
      </c>
      <c r="G26" s="76">
        <f>+'INT A'!G30</f>
        <v>0</v>
      </c>
    </row>
    <row r="27" spans="1:7" s="7" customFormat="1">
      <c r="A27" s="69" t="s">
        <v>48</v>
      </c>
      <c r="B27" s="72">
        <f t="shared" ref="B27:G27" si="3">+B14+B20+B25</f>
        <v>20510200</v>
      </c>
      <c r="C27" s="72">
        <f t="shared" si="3"/>
        <v>2939910</v>
      </c>
      <c r="D27" s="72">
        <f t="shared" si="3"/>
        <v>3134310</v>
      </c>
      <c r="E27" s="72">
        <f t="shared" si="3"/>
        <v>1585710</v>
      </c>
      <c r="F27" s="72">
        <f t="shared" si="3"/>
        <v>4736560</v>
      </c>
      <c r="G27" s="72">
        <f t="shared" si="3"/>
        <v>8113710</v>
      </c>
    </row>
    <row r="28" spans="1:7">
      <c r="C28" s="385"/>
      <c r="D28" s="385"/>
      <c r="E28" s="385"/>
      <c r="F28" s="385"/>
      <c r="G28" s="385"/>
    </row>
  </sheetData>
  <mergeCells count="3">
    <mergeCell ref="A8:G8"/>
    <mergeCell ref="A9:G9"/>
    <mergeCell ref="A10:G10"/>
  </mergeCells>
  <printOptions horizontalCentered="1"/>
  <pageMargins left="0" right="0" top="0.74803149606299213" bottom="0.55118110236220474"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dimension ref="A1:G31"/>
  <sheetViews>
    <sheetView workbookViewId="0">
      <selection activeCell="A7" sqref="A7"/>
    </sheetView>
  </sheetViews>
  <sheetFormatPr baseColWidth="10" defaultRowHeight="15"/>
  <cols>
    <col min="1" max="1" width="32.5703125" customWidth="1"/>
    <col min="2" max="2" width="17.7109375" bestFit="1" customWidth="1"/>
    <col min="3" max="3" width="16" bestFit="1" customWidth="1"/>
    <col min="4" max="7" width="16.85546875" bestFit="1" customWidth="1"/>
  </cols>
  <sheetData>
    <row r="1" spans="1:7" s="1" customFormat="1" ht="15" customHeight="1">
      <c r="A1"/>
    </row>
    <row r="2" spans="1:7" s="1" customFormat="1" ht="15" customHeight="1"/>
    <row r="3" spans="1:7" s="1" customFormat="1" ht="15" customHeight="1"/>
    <row r="4" spans="1:7" s="1" customFormat="1" ht="15" customHeight="1"/>
    <row r="5" spans="1:7" s="1" customFormat="1" ht="15" customHeight="1" thickBot="1">
      <c r="A5" s="6"/>
      <c r="B5" s="6"/>
      <c r="C5" s="6"/>
      <c r="D5" s="6"/>
      <c r="E5" s="6"/>
      <c r="F5" s="6"/>
      <c r="G5" s="6"/>
    </row>
    <row r="6" spans="1:7" ht="7.5" customHeight="1" thickTop="1"/>
    <row r="7" spans="1:7" s="20" customFormat="1" ht="12.75">
      <c r="A7" s="20" t="s">
        <v>867</v>
      </c>
    </row>
    <row r="8" spans="1:7">
      <c r="A8" s="390" t="s">
        <v>747</v>
      </c>
      <c r="B8" s="390"/>
      <c r="C8" s="390"/>
      <c r="D8" s="390"/>
      <c r="E8" s="390"/>
      <c r="F8" s="390"/>
      <c r="G8" s="390"/>
    </row>
    <row r="9" spans="1:7">
      <c r="A9" s="390" t="s">
        <v>238</v>
      </c>
      <c r="B9" s="390"/>
      <c r="C9" s="390"/>
      <c r="D9" s="390"/>
      <c r="E9" s="390"/>
      <c r="F9" s="390"/>
      <c r="G9" s="390"/>
    </row>
    <row r="10" spans="1:7">
      <c r="A10" s="391" t="s">
        <v>268</v>
      </c>
      <c r="B10" s="391"/>
      <c r="C10" s="391"/>
      <c r="D10" s="391"/>
      <c r="E10" s="391"/>
      <c r="F10" s="391"/>
      <c r="G10" s="391"/>
    </row>
    <row r="11" spans="1:7" ht="7.5" customHeight="1"/>
    <row r="12" spans="1:7" s="9" customFormat="1" ht="12">
      <c r="A12" s="71" t="s">
        <v>3</v>
      </c>
      <c r="B12" s="71" t="s">
        <v>239</v>
      </c>
      <c r="C12" s="71" t="s">
        <v>258</v>
      </c>
      <c r="D12" s="71" t="s">
        <v>263</v>
      </c>
      <c r="E12" s="71" t="s">
        <v>264</v>
      </c>
      <c r="F12" s="71" t="s">
        <v>265</v>
      </c>
      <c r="G12" s="71" t="s">
        <v>266</v>
      </c>
    </row>
    <row r="13" spans="1:7" s="80" customFormat="1">
      <c r="C13" s="80">
        <v>111</v>
      </c>
      <c r="D13" s="80">
        <v>121</v>
      </c>
      <c r="E13" s="80">
        <v>131</v>
      </c>
      <c r="F13" s="80">
        <v>133</v>
      </c>
      <c r="G13" s="80">
        <v>141</v>
      </c>
    </row>
    <row r="14" spans="1:7" s="7" customFormat="1">
      <c r="A14" s="67" t="s">
        <v>245</v>
      </c>
      <c r="B14" s="72">
        <f t="shared" ref="B14:G14" si="0">+B15+B21+B22</f>
        <v>19033110</v>
      </c>
      <c r="C14" s="72">
        <f t="shared" si="0"/>
        <v>1507110</v>
      </c>
      <c r="D14" s="72">
        <f t="shared" si="0"/>
        <v>3134310</v>
      </c>
      <c r="E14" s="72">
        <f t="shared" si="0"/>
        <v>1567750</v>
      </c>
      <c r="F14" s="72">
        <f t="shared" si="0"/>
        <v>4736560</v>
      </c>
      <c r="G14" s="72">
        <f t="shared" si="0"/>
        <v>8087380</v>
      </c>
    </row>
    <row r="15" spans="1:7" s="83" customFormat="1">
      <c r="A15" s="10" t="s">
        <v>281</v>
      </c>
      <c r="B15" s="81">
        <f t="shared" ref="B15:G15" si="1">+B16+B19+B20</f>
        <v>18259870</v>
      </c>
      <c r="C15" s="82">
        <f t="shared" si="1"/>
        <v>733870</v>
      </c>
      <c r="D15" s="82">
        <f t="shared" si="1"/>
        <v>3134310</v>
      </c>
      <c r="E15" s="82">
        <f t="shared" si="1"/>
        <v>1567750</v>
      </c>
      <c r="F15" s="82">
        <f t="shared" si="1"/>
        <v>4736560</v>
      </c>
      <c r="G15" s="82">
        <f t="shared" si="1"/>
        <v>8087380</v>
      </c>
    </row>
    <row r="16" spans="1:7">
      <c r="A16" s="7" t="s">
        <v>246</v>
      </c>
      <c r="B16" s="70">
        <f>+B17+B18</f>
        <v>7636960</v>
      </c>
      <c r="C16" s="76">
        <f>SUM(C17:C18)</f>
        <v>624260</v>
      </c>
      <c r="D16" s="76">
        <f>SUM(D17:D18)</f>
        <v>2618020</v>
      </c>
      <c r="E16" s="76">
        <f>SUM(E17:E18)</f>
        <v>1432220</v>
      </c>
      <c r="F16" s="76">
        <f>SUM(F17:F18)</f>
        <v>1603450</v>
      </c>
      <c r="G16" s="76">
        <f>SUM(G17:G18)</f>
        <v>1359010</v>
      </c>
    </row>
    <row r="17" spans="1:7" s="20" customFormat="1" ht="12.75">
      <c r="A17" s="20" t="s">
        <v>279</v>
      </c>
      <c r="B17" s="84">
        <f t="shared" ref="B17:B22" si="2">SUM(C17:G17)</f>
        <v>6978380</v>
      </c>
      <c r="C17" s="85">
        <f>+'INT B'!D28</f>
        <v>624260</v>
      </c>
      <c r="D17" s="85">
        <f>+'INT B'!E28</f>
        <v>1959440</v>
      </c>
      <c r="E17" s="85">
        <f>+'INT B'!F28</f>
        <v>1432220</v>
      </c>
      <c r="F17" s="85">
        <f>+'INT B'!G28</f>
        <v>1603450</v>
      </c>
      <c r="G17" s="85">
        <f>+'INT B'!H28</f>
        <v>1359010</v>
      </c>
    </row>
    <row r="18" spans="1:7" s="20" customFormat="1" ht="12.75">
      <c r="A18" s="20" t="s">
        <v>280</v>
      </c>
      <c r="B18" s="84">
        <f t="shared" si="2"/>
        <v>658580</v>
      </c>
      <c r="C18" s="85">
        <f>+'INT B'!D46</f>
        <v>0</v>
      </c>
      <c r="D18" s="85">
        <f>+'INT B'!E46</f>
        <v>658580</v>
      </c>
      <c r="E18" s="85">
        <f>+'INT B'!F46</f>
        <v>0</v>
      </c>
      <c r="F18" s="85">
        <f>+'INT B'!G46</f>
        <v>0</v>
      </c>
      <c r="G18" s="85">
        <f>+'INT B'!H46</f>
        <v>0</v>
      </c>
    </row>
    <row r="19" spans="1:7">
      <c r="A19" s="7" t="s">
        <v>247</v>
      </c>
      <c r="B19" s="70">
        <f t="shared" si="2"/>
        <v>519030</v>
      </c>
      <c r="C19" s="76">
        <f>+'INT B'!D66</f>
        <v>15800</v>
      </c>
      <c r="D19" s="88">
        <f>+'INT B'!E66</f>
        <v>14960</v>
      </c>
      <c r="E19" s="88">
        <f>+'INT B'!F66</f>
        <v>570</v>
      </c>
      <c r="F19" s="88">
        <f>+'INT B'!G66</f>
        <v>1190</v>
      </c>
      <c r="G19" s="88">
        <f>+'INT B'!H66</f>
        <v>486510</v>
      </c>
    </row>
    <row r="20" spans="1:7">
      <c r="A20" s="7" t="s">
        <v>248</v>
      </c>
      <c r="B20" s="70">
        <f t="shared" si="2"/>
        <v>10103880</v>
      </c>
      <c r="C20" s="76">
        <f>+'INT B'!D92</f>
        <v>93810</v>
      </c>
      <c r="D20" s="88">
        <f>+'INT B'!E92</f>
        <v>501330</v>
      </c>
      <c r="E20" s="88">
        <f>+'INT B'!F92</f>
        <v>134960</v>
      </c>
      <c r="F20" s="88">
        <f>+'INT B'!G92</f>
        <v>3131920</v>
      </c>
      <c r="G20" s="88">
        <f>+'INT B'!H92</f>
        <v>6241860</v>
      </c>
    </row>
    <row r="21" spans="1:7">
      <c r="A21" s="7" t="s">
        <v>249</v>
      </c>
      <c r="B21" s="70">
        <f t="shared" si="2"/>
        <v>0</v>
      </c>
      <c r="C21" s="76">
        <f>+'INT B'!D111</f>
        <v>0</v>
      </c>
      <c r="D21" s="76">
        <f>+'INT B'!E111</f>
        <v>0</v>
      </c>
      <c r="E21" s="76">
        <f>+'INT B'!F111</f>
        <v>0</v>
      </c>
      <c r="F21" s="76">
        <f>+'INT B'!G111</f>
        <v>0</v>
      </c>
      <c r="G21" s="76">
        <f>+'INT B'!H111</f>
        <v>0</v>
      </c>
    </row>
    <row r="22" spans="1:7">
      <c r="A22" s="7" t="s">
        <v>250</v>
      </c>
      <c r="B22" s="70">
        <f t="shared" si="2"/>
        <v>773240</v>
      </c>
      <c r="C22" s="76">
        <f>+'INT B'!D113</f>
        <v>773240</v>
      </c>
      <c r="D22" s="76">
        <f>+'INT B'!E113</f>
        <v>0</v>
      </c>
      <c r="E22" s="76">
        <f>+'INT B'!F113</f>
        <v>0</v>
      </c>
      <c r="F22" s="76">
        <f>+'INT B'!G113</f>
        <v>0</v>
      </c>
      <c r="G22" s="76">
        <f>+'INT B'!H113</f>
        <v>0</v>
      </c>
    </row>
    <row r="23" spans="1:7" s="7" customFormat="1">
      <c r="A23" s="67" t="s">
        <v>251</v>
      </c>
      <c r="B23" s="72">
        <f t="shared" ref="B23:G23" si="3">+B24+B27+B28</f>
        <v>1477090</v>
      </c>
      <c r="C23" s="72">
        <f t="shared" si="3"/>
        <v>1432800</v>
      </c>
      <c r="D23" s="72">
        <f t="shared" si="3"/>
        <v>0</v>
      </c>
      <c r="E23" s="72">
        <f t="shared" si="3"/>
        <v>17960</v>
      </c>
      <c r="F23" s="72">
        <f t="shared" si="3"/>
        <v>0</v>
      </c>
      <c r="G23" s="72">
        <f t="shared" si="3"/>
        <v>26330</v>
      </c>
    </row>
    <row r="24" spans="1:7" s="10" customFormat="1">
      <c r="A24" s="10" t="s">
        <v>282</v>
      </c>
      <c r="B24" s="70">
        <f t="shared" ref="B24:G24" si="4">+B25+B26</f>
        <v>92170</v>
      </c>
      <c r="C24" s="82">
        <f t="shared" si="4"/>
        <v>47880</v>
      </c>
      <c r="D24" s="82">
        <f t="shared" si="4"/>
        <v>0</v>
      </c>
      <c r="E24" s="82">
        <f t="shared" si="4"/>
        <v>17960</v>
      </c>
      <c r="F24" s="82">
        <f t="shared" si="4"/>
        <v>0</v>
      </c>
      <c r="G24" s="82">
        <f t="shared" si="4"/>
        <v>26330</v>
      </c>
    </row>
    <row r="25" spans="1:7">
      <c r="A25" s="7" t="s">
        <v>252</v>
      </c>
      <c r="B25" s="70">
        <f>SUM(C25:G25)</f>
        <v>92170</v>
      </c>
      <c r="C25" s="76">
        <f>+'INT B'!D107</f>
        <v>47880</v>
      </c>
      <c r="D25" s="76">
        <f>+'INT B'!E107</f>
        <v>0</v>
      </c>
      <c r="E25" s="88">
        <f>+'INT B'!F107</f>
        <v>17960</v>
      </c>
      <c r="F25" s="76">
        <f>+'INT B'!G107</f>
        <v>0</v>
      </c>
      <c r="G25" s="76">
        <f>+'INT B'!H107</f>
        <v>26330</v>
      </c>
    </row>
    <row r="26" spans="1:7">
      <c r="A26" s="7" t="s">
        <v>253</v>
      </c>
      <c r="B26" s="70">
        <f>SUM(C26:G26)</f>
        <v>0</v>
      </c>
      <c r="C26" s="76">
        <f>+'INT B'!D115</f>
        <v>0</v>
      </c>
      <c r="D26" s="76">
        <f>+'INT B'!E115</f>
        <v>0</v>
      </c>
      <c r="E26" s="76">
        <f>+'INT B'!F115</f>
        <v>0</v>
      </c>
      <c r="F26" s="76">
        <f>+'INT B'!G115</f>
        <v>0</v>
      </c>
      <c r="G26" s="76">
        <f>+'INT B'!H115</f>
        <v>0</v>
      </c>
    </row>
    <row r="27" spans="1:7">
      <c r="A27" s="7" t="s">
        <v>254</v>
      </c>
      <c r="B27" s="70">
        <f>SUM(C27:G27)</f>
        <v>0</v>
      </c>
      <c r="C27" s="76">
        <f>+'INT B'!D117</f>
        <v>0</v>
      </c>
      <c r="D27" s="76">
        <f>+'INT B'!E117</f>
        <v>0</v>
      </c>
      <c r="E27" s="76">
        <f>+'INT B'!F117</f>
        <v>0</v>
      </c>
      <c r="F27" s="76">
        <f>+'INT B'!G117</f>
        <v>0</v>
      </c>
      <c r="G27" s="76">
        <f>+'INT B'!H117</f>
        <v>0</v>
      </c>
    </row>
    <row r="28" spans="1:7">
      <c r="A28" s="7" t="s">
        <v>255</v>
      </c>
      <c r="B28" s="70">
        <f>SUM(C28:G28)</f>
        <v>1384920</v>
      </c>
      <c r="C28" s="76">
        <f>+'INT B'!D119</f>
        <v>1384920</v>
      </c>
      <c r="D28" s="76">
        <f>+'INT B'!E119</f>
        <v>0</v>
      </c>
      <c r="E28" s="76">
        <f>+'INT B'!F119</f>
        <v>0</v>
      </c>
      <c r="F28" s="76">
        <f>+'INT B'!G119</f>
        <v>0</v>
      </c>
      <c r="G28" s="76">
        <f>+'INT B'!H119</f>
        <v>0</v>
      </c>
    </row>
    <row r="29" spans="1:7" s="7" customFormat="1">
      <c r="A29" s="67" t="s">
        <v>45</v>
      </c>
      <c r="B29" s="72">
        <f t="shared" ref="B29:G29" si="5">+B30</f>
        <v>0</v>
      </c>
      <c r="C29" s="72">
        <f t="shared" si="5"/>
        <v>0</v>
      </c>
      <c r="D29" s="72">
        <f t="shared" si="5"/>
        <v>0</v>
      </c>
      <c r="E29" s="72">
        <f t="shared" si="5"/>
        <v>0</v>
      </c>
      <c r="F29" s="72">
        <f t="shared" si="5"/>
        <v>0</v>
      </c>
      <c r="G29" s="72">
        <f t="shared" si="5"/>
        <v>0</v>
      </c>
    </row>
    <row r="30" spans="1:7">
      <c r="A30" t="s">
        <v>256</v>
      </c>
      <c r="B30" s="70">
        <f>SUM(C30:G30)</f>
        <v>0</v>
      </c>
      <c r="C30" s="76">
        <f>+'INT B'!D121</f>
        <v>0</v>
      </c>
      <c r="D30" s="76">
        <f>+'GOB B'!E121</f>
        <v>0</v>
      </c>
      <c r="E30" s="76">
        <f>+'GOB B'!F121</f>
        <v>0</v>
      </c>
      <c r="F30" s="76">
        <f>+'GOB B'!G121</f>
        <v>0</v>
      </c>
      <c r="G30" s="76">
        <f>+'GOB B'!H121</f>
        <v>0</v>
      </c>
    </row>
    <row r="31" spans="1:7" s="7" customFormat="1">
      <c r="A31" s="69" t="s">
        <v>48</v>
      </c>
      <c r="B31" s="72">
        <f t="shared" ref="B31:G31" si="6">+B14+B23+B29</f>
        <v>20510200</v>
      </c>
      <c r="C31" s="72">
        <f t="shared" si="6"/>
        <v>2939910</v>
      </c>
      <c r="D31" s="72">
        <f t="shared" si="6"/>
        <v>3134310</v>
      </c>
      <c r="E31" s="72">
        <f t="shared" si="6"/>
        <v>1585710</v>
      </c>
      <c r="F31" s="72">
        <f t="shared" si="6"/>
        <v>4736560</v>
      </c>
      <c r="G31" s="72">
        <f t="shared" si="6"/>
        <v>8113710</v>
      </c>
    </row>
  </sheetData>
  <mergeCells count="3">
    <mergeCell ref="A8:G8"/>
    <mergeCell ref="A9:G9"/>
    <mergeCell ref="A10:G10"/>
  </mergeCells>
  <printOptions horizontalCentered="1"/>
  <pageMargins left="0" right="0" top="0.74803149606299213" bottom="0.55118110236220474"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A1:J128"/>
  <sheetViews>
    <sheetView zoomScale="80" zoomScaleNormal="80" workbookViewId="0">
      <selection activeCell="B7" sqref="B7"/>
    </sheetView>
  </sheetViews>
  <sheetFormatPr baseColWidth="10" defaultRowHeight="15"/>
  <cols>
    <col min="1" max="1" width="6.85546875" bestFit="1" customWidth="1"/>
    <col min="2" max="2" width="37.140625" bestFit="1" customWidth="1"/>
    <col min="3" max="3" width="15.85546875" bestFit="1" customWidth="1"/>
    <col min="4" max="4" width="14.85546875" bestFit="1" customWidth="1"/>
    <col min="5" max="8" width="14.42578125" bestFit="1" customWidth="1"/>
  </cols>
  <sheetData>
    <row r="1" spans="1:8" s="1" customFormat="1" ht="15" customHeight="1">
      <c r="B1"/>
    </row>
    <row r="2" spans="1:8" s="1" customFormat="1" ht="15" customHeight="1"/>
    <row r="3" spans="1:8" s="1" customFormat="1" ht="15" customHeight="1"/>
    <row r="4" spans="1:8" s="1" customFormat="1" ht="15" customHeight="1"/>
    <row r="5" spans="1:8" s="1" customFormat="1" ht="15" customHeight="1" thickBot="1">
      <c r="A5" s="6"/>
      <c r="B5" s="6"/>
      <c r="C5" s="6"/>
      <c r="D5" s="6"/>
      <c r="E5" s="6"/>
      <c r="F5" s="6"/>
      <c r="G5" s="6"/>
      <c r="H5" s="6"/>
    </row>
    <row r="6" spans="1:8" ht="7.5" customHeight="1" thickTop="1"/>
    <row r="7" spans="1:8" s="20" customFormat="1" ht="12.75">
      <c r="B7" s="20" t="s">
        <v>867</v>
      </c>
    </row>
    <row r="8" spans="1:8">
      <c r="B8" s="390" t="s">
        <v>747</v>
      </c>
      <c r="C8" s="390"/>
      <c r="D8" s="390"/>
      <c r="E8" s="390"/>
      <c r="F8" s="390"/>
      <c r="G8" s="390"/>
      <c r="H8" s="390"/>
    </row>
    <row r="9" spans="1:8">
      <c r="B9" s="390" t="s">
        <v>238</v>
      </c>
      <c r="C9" s="390"/>
      <c r="D9" s="390"/>
      <c r="E9" s="390"/>
      <c r="F9" s="390"/>
      <c r="G9" s="390"/>
      <c r="H9" s="390"/>
    </row>
    <row r="10" spans="1:8">
      <c r="B10" s="391" t="s">
        <v>392</v>
      </c>
      <c r="C10" s="391"/>
      <c r="D10" s="391"/>
      <c r="E10" s="391"/>
      <c r="F10" s="391"/>
      <c r="G10" s="391"/>
      <c r="H10" s="391"/>
    </row>
    <row r="11" spans="1:8" ht="7.5" customHeight="1"/>
    <row r="12" spans="1:8" s="9" customFormat="1" ht="12">
      <c r="A12" s="71" t="s">
        <v>69</v>
      </c>
      <c r="B12" s="71" t="s">
        <v>284</v>
      </c>
      <c r="C12" s="71" t="s">
        <v>239</v>
      </c>
      <c r="D12" s="71" t="s">
        <v>258</v>
      </c>
      <c r="E12" s="71" t="s">
        <v>389</v>
      </c>
      <c r="F12" s="71" t="s">
        <v>264</v>
      </c>
      <c r="G12" s="71" t="s">
        <v>390</v>
      </c>
      <c r="H12" s="71" t="s">
        <v>391</v>
      </c>
    </row>
    <row r="13" spans="1:8" s="80" customFormat="1">
      <c r="A13" s="93" t="s">
        <v>283</v>
      </c>
      <c r="D13" s="80">
        <v>111</v>
      </c>
      <c r="E13" s="80">
        <v>121</v>
      </c>
      <c r="F13" s="80">
        <v>131</v>
      </c>
      <c r="G13" s="80">
        <v>133</v>
      </c>
      <c r="H13" s="80">
        <v>141</v>
      </c>
    </row>
    <row r="14" spans="1:8" s="83" customFormat="1">
      <c r="A14" s="87" t="s">
        <v>74</v>
      </c>
      <c r="B14" s="20" t="s">
        <v>286</v>
      </c>
      <c r="C14" s="84">
        <f t="shared" ref="C14:C27" si="0">SUM(D14:H14)</f>
        <v>2656880</v>
      </c>
      <c r="D14" s="88">
        <v>438980</v>
      </c>
      <c r="E14" s="88">
        <v>901190</v>
      </c>
      <c r="F14" s="88">
        <v>603100</v>
      </c>
      <c r="G14" s="88">
        <v>148700</v>
      </c>
      <c r="H14" s="88">
        <v>564910</v>
      </c>
    </row>
    <row r="15" spans="1:8">
      <c r="A15" s="87" t="s">
        <v>76</v>
      </c>
      <c r="B15" s="20" t="s">
        <v>287</v>
      </c>
      <c r="C15" s="84">
        <f t="shared" si="0"/>
        <v>416960</v>
      </c>
      <c r="D15" s="88">
        <v>5240</v>
      </c>
      <c r="E15" s="88">
        <v>173570</v>
      </c>
      <c r="F15" s="88">
        <v>96580</v>
      </c>
      <c r="G15" s="88">
        <v>23740</v>
      </c>
      <c r="H15" s="88">
        <v>117830</v>
      </c>
    </row>
    <row r="16" spans="1:8" s="20" customFormat="1">
      <c r="A16" s="87" t="s">
        <v>77</v>
      </c>
      <c r="B16" s="20" t="s">
        <v>288</v>
      </c>
      <c r="C16" s="84">
        <f t="shared" si="0"/>
        <v>0</v>
      </c>
      <c r="D16" s="88">
        <v>0</v>
      </c>
      <c r="E16" s="88">
        <v>0</v>
      </c>
      <c r="F16" s="88">
        <v>0</v>
      </c>
      <c r="G16" s="88">
        <v>0</v>
      </c>
      <c r="H16" s="88">
        <v>0</v>
      </c>
    </row>
    <row r="17" spans="1:8" s="20" customFormat="1">
      <c r="A17" s="87" t="s">
        <v>78</v>
      </c>
      <c r="B17" s="20" t="s">
        <v>289</v>
      </c>
      <c r="C17" s="84">
        <f t="shared" si="0"/>
        <v>0</v>
      </c>
      <c r="D17" s="88">
        <v>0</v>
      </c>
      <c r="E17" s="88">
        <v>0</v>
      </c>
      <c r="F17" s="88">
        <v>0</v>
      </c>
      <c r="G17" s="88">
        <v>0</v>
      </c>
      <c r="H17" s="88">
        <v>0</v>
      </c>
    </row>
    <row r="18" spans="1:8">
      <c r="A18" s="87" t="s">
        <v>79</v>
      </c>
      <c r="B18" s="20" t="s">
        <v>290</v>
      </c>
      <c r="C18" s="84">
        <f t="shared" si="0"/>
        <v>1794630</v>
      </c>
      <c r="D18" s="88">
        <v>21530</v>
      </c>
      <c r="E18" s="88">
        <v>222240</v>
      </c>
      <c r="F18" s="88">
        <v>149640</v>
      </c>
      <c r="G18" s="88">
        <v>1259850</v>
      </c>
      <c r="H18" s="88">
        <v>141370</v>
      </c>
    </row>
    <row r="19" spans="1:8">
      <c r="A19" s="87" t="s">
        <v>80</v>
      </c>
      <c r="B19" s="20" t="s">
        <v>291</v>
      </c>
      <c r="C19" s="84">
        <f t="shared" si="0"/>
        <v>0</v>
      </c>
      <c r="D19" s="88">
        <v>0</v>
      </c>
      <c r="E19" s="88">
        <v>0</v>
      </c>
      <c r="F19" s="88">
        <v>0</v>
      </c>
      <c r="G19" s="88">
        <v>0</v>
      </c>
      <c r="H19" s="88">
        <v>0</v>
      </c>
    </row>
    <row r="20" spans="1:8">
      <c r="A20" s="87" t="s">
        <v>81</v>
      </c>
      <c r="B20" s="20" t="s">
        <v>292</v>
      </c>
      <c r="C20" s="84">
        <f t="shared" si="0"/>
        <v>456130</v>
      </c>
      <c r="D20" s="88">
        <v>26950</v>
      </c>
      <c r="E20" s="88">
        <v>162190</v>
      </c>
      <c r="F20" s="88">
        <v>108460</v>
      </c>
      <c r="G20" s="88">
        <v>45350</v>
      </c>
      <c r="H20" s="88">
        <v>113180</v>
      </c>
    </row>
    <row r="21" spans="1:8">
      <c r="A21" s="87" t="s">
        <v>82</v>
      </c>
      <c r="B21" s="20" t="s">
        <v>293</v>
      </c>
      <c r="C21" s="84">
        <f t="shared" si="0"/>
        <v>83150</v>
      </c>
      <c r="D21" s="88">
        <v>3670</v>
      </c>
      <c r="E21" s="88">
        <v>38240</v>
      </c>
      <c r="F21" s="88">
        <v>21420</v>
      </c>
      <c r="G21" s="88">
        <v>5270</v>
      </c>
      <c r="H21" s="88">
        <v>14550</v>
      </c>
    </row>
    <row r="22" spans="1:8" s="7" customFormat="1">
      <c r="A22" s="87" t="s">
        <v>93</v>
      </c>
      <c r="B22" s="20" t="s">
        <v>294</v>
      </c>
      <c r="C22" s="84">
        <f t="shared" si="0"/>
        <v>223950</v>
      </c>
      <c r="D22" s="88">
        <v>3280</v>
      </c>
      <c r="E22" s="88">
        <v>34770</v>
      </c>
      <c r="F22" s="88">
        <v>86610</v>
      </c>
      <c r="G22" s="88">
        <v>25410</v>
      </c>
      <c r="H22" s="88">
        <v>73880</v>
      </c>
    </row>
    <row r="23" spans="1:8" s="10" customFormat="1">
      <c r="A23" s="87" t="s">
        <v>94</v>
      </c>
      <c r="B23" s="20" t="s">
        <v>295</v>
      </c>
      <c r="C23" s="84">
        <f t="shared" si="0"/>
        <v>76280</v>
      </c>
      <c r="D23" s="88">
        <f>990+2400</f>
        <v>3390</v>
      </c>
      <c r="E23" s="88">
        <f>20450+8400</f>
        <v>28850</v>
      </c>
      <c r="F23" s="88">
        <f>12320+5000</f>
        <v>17320</v>
      </c>
      <c r="G23" s="88">
        <f>3030+2100</f>
        <v>5130</v>
      </c>
      <c r="H23" s="88">
        <f>15190+6400</f>
        <v>21590</v>
      </c>
    </row>
    <row r="24" spans="1:8">
      <c r="A24" s="87" t="s">
        <v>151</v>
      </c>
      <c r="B24" s="20" t="s">
        <v>296</v>
      </c>
      <c r="C24" s="84">
        <f t="shared" si="0"/>
        <v>545520</v>
      </c>
      <c r="D24" s="88">
        <v>41320</v>
      </c>
      <c r="E24" s="88">
        <v>185360</v>
      </c>
      <c r="F24" s="88">
        <v>161650</v>
      </c>
      <c r="G24" s="88">
        <v>34770</v>
      </c>
      <c r="H24" s="88">
        <v>122420</v>
      </c>
    </row>
    <row r="25" spans="1:8">
      <c r="A25" s="87" t="s">
        <v>153</v>
      </c>
      <c r="B25" s="20" t="s">
        <v>297</v>
      </c>
      <c r="C25" s="84">
        <f t="shared" si="0"/>
        <v>321820</v>
      </c>
      <c r="D25" s="88">
        <v>30480</v>
      </c>
      <c r="E25" s="88">
        <v>93060</v>
      </c>
      <c r="F25" s="88">
        <v>81630</v>
      </c>
      <c r="G25" s="88">
        <v>26360</v>
      </c>
      <c r="H25" s="88">
        <v>90290</v>
      </c>
    </row>
    <row r="26" spans="1:8">
      <c r="A26" s="87" t="s">
        <v>155</v>
      </c>
      <c r="B26" s="20" t="s">
        <v>298</v>
      </c>
      <c r="C26" s="84">
        <f t="shared" si="0"/>
        <v>403060</v>
      </c>
      <c r="D26" s="88">
        <v>49420</v>
      </c>
      <c r="E26" s="88">
        <v>119970</v>
      </c>
      <c r="F26" s="88">
        <v>105810</v>
      </c>
      <c r="G26" s="88">
        <v>28870</v>
      </c>
      <c r="H26" s="88">
        <v>98990</v>
      </c>
    </row>
    <row r="27" spans="1:8">
      <c r="A27" s="87" t="s">
        <v>157</v>
      </c>
      <c r="B27" s="20" t="s">
        <v>299</v>
      </c>
      <c r="C27" s="84">
        <f t="shared" si="0"/>
        <v>0</v>
      </c>
      <c r="D27" s="88"/>
      <c r="E27" s="88"/>
      <c r="F27" s="88"/>
      <c r="G27" s="88"/>
      <c r="H27" s="88"/>
    </row>
    <row r="28" spans="1:8" s="7" customFormat="1">
      <c r="A28" s="67"/>
      <c r="B28" s="89" t="s">
        <v>300</v>
      </c>
      <c r="C28" s="72">
        <f t="shared" ref="C28:H28" si="1">SUM(C14:C27)</f>
        <v>6978380</v>
      </c>
      <c r="D28" s="72">
        <f t="shared" si="1"/>
        <v>624260</v>
      </c>
      <c r="E28" s="72">
        <f t="shared" si="1"/>
        <v>1959440</v>
      </c>
      <c r="F28" s="72">
        <f t="shared" si="1"/>
        <v>1432220</v>
      </c>
      <c r="G28" s="72">
        <f t="shared" si="1"/>
        <v>1603450</v>
      </c>
      <c r="H28" s="72">
        <f t="shared" si="1"/>
        <v>1359010</v>
      </c>
    </row>
    <row r="30" spans="1:8" s="9" customFormat="1" ht="12">
      <c r="A30" s="71" t="s">
        <v>69</v>
      </c>
      <c r="B30" s="71" t="s">
        <v>301</v>
      </c>
      <c r="C30" s="71" t="s">
        <v>239</v>
      </c>
      <c r="D30" s="71" t="s">
        <v>258</v>
      </c>
      <c r="E30" s="71" t="s">
        <v>389</v>
      </c>
      <c r="F30" s="71" t="s">
        <v>264</v>
      </c>
      <c r="G30" s="71" t="s">
        <v>390</v>
      </c>
      <c r="H30" s="71" t="s">
        <v>391</v>
      </c>
    </row>
    <row r="31" spans="1:8" s="80" customFormat="1">
      <c r="A31" s="93" t="s">
        <v>303</v>
      </c>
      <c r="D31" s="80">
        <v>111</v>
      </c>
      <c r="E31" s="80">
        <v>121</v>
      </c>
      <c r="F31" s="80">
        <v>131</v>
      </c>
      <c r="G31" s="80">
        <v>133</v>
      </c>
      <c r="H31" s="80">
        <v>141</v>
      </c>
    </row>
    <row r="32" spans="1:8" s="83" customFormat="1">
      <c r="A32" s="87" t="s">
        <v>74</v>
      </c>
      <c r="B32" s="20" t="s">
        <v>286</v>
      </c>
      <c r="C32" s="84">
        <f t="shared" ref="C32:C45" si="2">SUM(D32:H32)</f>
        <v>199290</v>
      </c>
      <c r="D32" s="88">
        <v>0</v>
      </c>
      <c r="E32" s="88">
        <v>199290</v>
      </c>
      <c r="F32" s="88">
        <v>0</v>
      </c>
      <c r="G32" s="88">
        <v>0</v>
      </c>
      <c r="H32" s="88">
        <v>0</v>
      </c>
    </row>
    <row r="33" spans="1:8">
      <c r="A33" s="87" t="s">
        <v>76</v>
      </c>
      <c r="B33" s="20" t="s">
        <v>287</v>
      </c>
      <c r="C33" s="84">
        <f t="shared" si="2"/>
        <v>23140</v>
      </c>
      <c r="D33" s="88">
        <v>0</v>
      </c>
      <c r="E33" s="88">
        <v>23140</v>
      </c>
      <c r="F33" s="88">
        <v>0</v>
      </c>
      <c r="G33" s="88">
        <v>0</v>
      </c>
      <c r="H33" s="88">
        <v>0</v>
      </c>
    </row>
    <row r="34" spans="1:8" s="20" customFormat="1">
      <c r="A34" s="87" t="s">
        <v>77</v>
      </c>
      <c r="B34" s="20" t="s">
        <v>288</v>
      </c>
      <c r="C34" s="84">
        <f t="shared" si="2"/>
        <v>0</v>
      </c>
      <c r="D34" s="88">
        <v>0</v>
      </c>
      <c r="E34" s="88">
        <v>0</v>
      </c>
      <c r="F34" s="88">
        <v>0</v>
      </c>
      <c r="G34" s="88">
        <v>0</v>
      </c>
      <c r="H34" s="88">
        <v>0</v>
      </c>
    </row>
    <row r="35" spans="1:8" s="20" customFormat="1">
      <c r="A35" s="87" t="s">
        <v>78</v>
      </c>
      <c r="B35" s="20" t="s">
        <v>289</v>
      </c>
      <c r="C35" s="84">
        <f t="shared" si="2"/>
        <v>0</v>
      </c>
      <c r="D35" s="88">
        <v>0</v>
      </c>
      <c r="E35" s="88">
        <v>0</v>
      </c>
      <c r="F35" s="88">
        <v>0</v>
      </c>
      <c r="G35" s="88">
        <v>0</v>
      </c>
      <c r="H35" s="88">
        <v>0</v>
      </c>
    </row>
    <row r="36" spans="1:8">
      <c r="A36" s="87" t="s">
        <v>79</v>
      </c>
      <c r="B36" s="20" t="s">
        <v>290</v>
      </c>
      <c r="C36" s="84">
        <f t="shared" si="2"/>
        <v>169730</v>
      </c>
      <c r="D36" s="88">
        <v>0</v>
      </c>
      <c r="E36" s="88">
        <v>169730</v>
      </c>
      <c r="F36" s="88">
        <v>0</v>
      </c>
      <c r="G36" s="88">
        <v>0</v>
      </c>
      <c r="H36" s="88">
        <v>0</v>
      </c>
    </row>
    <row r="37" spans="1:8">
      <c r="A37" s="87" t="s">
        <v>80</v>
      </c>
      <c r="B37" s="20" t="s">
        <v>291</v>
      </c>
      <c r="C37" s="84">
        <f t="shared" si="2"/>
        <v>0</v>
      </c>
      <c r="D37" s="88">
        <v>0</v>
      </c>
      <c r="E37" s="88">
        <v>0</v>
      </c>
      <c r="F37" s="88">
        <v>0</v>
      </c>
      <c r="G37" s="88">
        <v>0</v>
      </c>
      <c r="H37" s="88">
        <v>0</v>
      </c>
    </row>
    <row r="38" spans="1:8">
      <c r="A38" s="87" t="s">
        <v>81</v>
      </c>
      <c r="B38" s="20" t="s">
        <v>292</v>
      </c>
      <c r="C38" s="84">
        <f t="shared" si="2"/>
        <v>43010</v>
      </c>
      <c r="D38" s="88">
        <v>0</v>
      </c>
      <c r="E38" s="88">
        <v>43010</v>
      </c>
      <c r="F38" s="88">
        <v>0</v>
      </c>
      <c r="G38" s="88">
        <v>0</v>
      </c>
      <c r="H38" s="88">
        <v>0</v>
      </c>
    </row>
    <row r="39" spans="1:8">
      <c r="A39" s="87" t="s">
        <v>82</v>
      </c>
      <c r="B39" s="20" t="s">
        <v>293</v>
      </c>
      <c r="C39" s="84">
        <f t="shared" si="2"/>
        <v>24560</v>
      </c>
      <c r="D39" s="88">
        <v>0</v>
      </c>
      <c r="E39" s="88">
        <v>24560</v>
      </c>
      <c r="F39" s="88">
        <v>0</v>
      </c>
      <c r="G39" s="88">
        <v>0</v>
      </c>
      <c r="H39" s="88">
        <v>0</v>
      </c>
    </row>
    <row r="40" spans="1:8" s="7" customFormat="1">
      <c r="A40" s="87" t="s">
        <v>93</v>
      </c>
      <c r="B40" s="20" t="s">
        <v>294</v>
      </c>
      <c r="C40" s="84">
        <f t="shared" si="2"/>
        <v>62690</v>
      </c>
      <c r="D40" s="88">
        <v>0</v>
      </c>
      <c r="E40" s="88">
        <v>62690</v>
      </c>
      <c r="F40" s="88">
        <v>0</v>
      </c>
      <c r="G40" s="88">
        <v>0</v>
      </c>
      <c r="H40" s="88">
        <v>0</v>
      </c>
    </row>
    <row r="41" spans="1:8" s="10" customFormat="1">
      <c r="A41" s="87" t="s">
        <v>94</v>
      </c>
      <c r="B41" s="20" t="s">
        <v>295</v>
      </c>
      <c r="C41" s="84">
        <f t="shared" si="2"/>
        <v>13800</v>
      </c>
      <c r="D41" s="88">
        <v>0</v>
      </c>
      <c r="E41" s="88">
        <f>9800+4000</f>
        <v>13800</v>
      </c>
      <c r="F41" s="88">
        <v>0</v>
      </c>
      <c r="G41" s="88">
        <v>0</v>
      </c>
      <c r="H41" s="88">
        <v>0</v>
      </c>
    </row>
    <row r="42" spans="1:8">
      <c r="A42" s="87" t="s">
        <v>151</v>
      </c>
      <c r="B42" s="20" t="s">
        <v>296</v>
      </c>
      <c r="C42" s="84">
        <f t="shared" si="2"/>
        <v>51660</v>
      </c>
      <c r="D42" s="88">
        <v>0</v>
      </c>
      <c r="E42" s="88">
        <v>51660</v>
      </c>
      <c r="F42" s="88">
        <v>0</v>
      </c>
      <c r="G42" s="88">
        <v>0</v>
      </c>
      <c r="H42" s="88">
        <v>0</v>
      </c>
    </row>
    <row r="43" spans="1:8">
      <c r="A43" s="87" t="s">
        <v>153</v>
      </c>
      <c r="B43" s="20" t="s">
        <v>297</v>
      </c>
      <c r="C43" s="84">
        <f t="shared" si="2"/>
        <v>30470</v>
      </c>
      <c r="D43" s="88">
        <v>0</v>
      </c>
      <c r="E43" s="88">
        <v>30470</v>
      </c>
      <c r="F43" s="88">
        <v>0</v>
      </c>
      <c r="G43" s="88">
        <v>0</v>
      </c>
      <c r="H43" s="88">
        <v>0</v>
      </c>
    </row>
    <row r="44" spans="1:8">
      <c r="A44" s="87" t="s">
        <v>155</v>
      </c>
      <c r="B44" s="20" t="s">
        <v>298</v>
      </c>
      <c r="C44" s="84">
        <f t="shared" si="2"/>
        <v>40230</v>
      </c>
      <c r="D44" s="88">
        <v>0</v>
      </c>
      <c r="E44" s="88">
        <v>40230</v>
      </c>
      <c r="F44" s="88">
        <v>0</v>
      </c>
      <c r="G44" s="88">
        <v>0</v>
      </c>
      <c r="H44" s="88">
        <v>0</v>
      </c>
    </row>
    <row r="45" spans="1:8">
      <c r="A45" s="87" t="s">
        <v>157</v>
      </c>
      <c r="B45" s="20" t="s">
        <v>299</v>
      </c>
      <c r="C45" s="84">
        <f t="shared" si="2"/>
        <v>0</v>
      </c>
      <c r="D45" s="88"/>
      <c r="E45" s="88"/>
      <c r="F45" s="88"/>
      <c r="G45" s="88"/>
      <c r="H45" s="88"/>
    </row>
    <row r="46" spans="1:8" s="7" customFormat="1">
      <c r="A46" s="67"/>
      <c r="B46" s="89" t="s">
        <v>300</v>
      </c>
      <c r="C46" s="72">
        <f t="shared" ref="C46:H46" si="3">SUM(C32:C45)</f>
        <v>658580</v>
      </c>
      <c r="D46" s="72">
        <f t="shared" si="3"/>
        <v>0</v>
      </c>
      <c r="E46" s="72">
        <f t="shared" si="3"/>
        <v>658580</v>
      </c>
      <c r="F46" s="72">
        <f t="shared" si="3"/>
        <v>0</v>
      </c>
      <c r="G46" s="72">
        <f t="shared" si="3"/>
        <v>0</v>
      </c>
      <c r="H46" s="72">
        <f t="shared" si="3"/>
        <v>0</v>
      </c>
    </row>
    <row r="48" spans="1:8" s="9" customFormat="1" ht="12">
      <c r="A48" s="71" t="s">
        <v>69</v>
      </c>
      <c r="B48" s="71" t="s">
        <v>302</v>
      </c>
      <c r="C48" s="71" t="s">
        <v>239</v>
      </c>
      <c r="D48" s="71" t="s">
        <v>258</v>
      </c>
      <c r="E48" s="71" t="s">
        <v>389</v>
      </c>
      <c r="F48" s="71" t="s">
        <v>264</v>
      </c>
      <c r="G48" s="71" t="s">
        <v>390</v>
      </c>
      <c r="H48" s="71" t="s">
        <v>391</v>
      </c>
    </row>
    <row r="49" spans="1:8" s="80" customFormat="1">
      <c r="A49" s="93" t="s">
        <v>304</v>
      </c>
      <c r="D49" s="80">
        <v>111</v>
      </c>
      <c r="E49" s="80">
        <v>121</v>
      </c>
      <c r="F49" s="80">
        <v>131</v>
      </c>
      <c r="G49" s="80">
        <v>133</v>
      </c>
      <c r="H49" s="80">
        <v>141</v>
      </c>
    </row>
    <row r="50" spans="1:8" s="83" customFormat="1">
      <c r="A50" s="87" t="s">
        <v>74</v>
      </c>
      <c r="B50" s="20" t="s">
        <v>307</v>
      </c>
      <c r="C50" s="84">
        <f t="shared" ref="C50:C65" si="4">SUM(D50:H50)</f>
        <v>46000</v>
      </c>
      <c r="D50" s="88">
        <v>0</v>
      </c>
      <c r="E50" s="88">
        <v>7540</v>
      </c>
      <c r="F50" s="88">
        <v>0</v>
      </c>
      <c r="G50" s="88">
        <v>0</v>
      </c>
      <c r="H50" s="88">
        <v>38460</v>
      </c>
    </row>
    <row r="51" spans="1:8">
      <c r="A51" s="87" t="s">
        <v>76</v>
      </c>
      <c r="B51" s="20" t="s">
        <v>308</v>
      </c>
      <c r="C51" s="84">
        <f t="shared" si="4"/>
        <v>0</v>
      </c>
      <c r="D51" s="88">
        <v>0</v>
      </c>
      <c r="E51" s="88">
        <v>0</v>
      </c>
      <c r="F51" s="88">
        <v>0</v>
      </c>
      <c r="G51" s="88">
        <v>0</v>
      </c>
      <c r="H51" s="88">
        <v>0</v>
      </c>
    </row>
    <row r="52" spans="1:8" s="20" customFormat="1">
      <c r="A52" s="87" t="s">
        <v>77</v>
      </c>
      <c r="B52" s="20" t="s">
        <v>309</v>
      </c>
      <c r="C52" s="84">
        <f t="shared" si="4"/>
        <v>0</v>
      </c>
      <c r="D52" s="88">
        <v>0</v>
      </c>
      <c r="E52" s="88">
        <v>0</v>
      </c>
      <c r="F52" s="88">
        <v>0</v>
      </c>
      <c r="G52" s="88">
        <v>0</v>
      </c>
      <c r="H52" s="88">
        <v>0</v>
      </c>
    </row>
    <row r="53" spans="1:8" s="20" customFormat="1">
      <c r="A53" s="87" t="s">
        <v>78</v>
      </c>
      <c r="B53" s="20" t="s">
        <v>310</v>
      </c>
      <c r="C53" s="84">
        <f t="shared" si="4"/>
        <v>0</v>
      </c>
      <c r="D53" s="88">
        <v>0</v>
      </c>
      <c r="E53" s="88">
        <v>0</v>
      </c>
      <c r="F53" s="88">
        <v>0</v>
      </c>
      <c r="G53" s="88">
        <v>0</v>
      </c>
      <c r="H53" s="88">
        <v>0</v>
      </c>
    </row>
    <row r="54" spans="1:8">
      <c r="A54" s="87" t="s">
        <v>79</v>
      </c>
      <c r="B54" s="20" t="s">
        <v>311</v>
      </c>
      <c r="C54" s="84">
        <f t="shared" si="4"/>
        <v>7140</v>
      </c>
      <c r="D54" s="88">
        <v>1190</v>
      </c>
      <c r="E54" s="88">
        <v>0</v>
      </c>
      <c r="F54" s="88">
        <v>0</v>
      </c>
      <c r="G54" s="88">
        <v>0</v>
      </c>
      <c r="H54" s="88">
        <v>5950</v>
      </c>
    </row>
    <row r="55" spans="1:8">
      <c r="A55" s="87" t="s">
        <v>80</v>
      </c>
      <c r="B55" s="20" t="s">
        <v>312</v>
      </c>
      <c r="C55" s="84">
        <f t="shared" si="4"/>
        <v>0</v>
      </c>
      <c r="D55" s="88">
        <v>0</v>
      </c>
      <c r="E55" s="88">
        <v>0</v>
      </c>
      <c r="F55" s="88">
        <v>0</v>
      </c>
      <c r="G55" s="88">
        <v>0</v>
      </c>
      <c r="H55" s="88">
        <v>0</v>
      </c>
    </row>
    <row r="56" spans="1:8">
      <c r="A56" s="87" t="s">
        <v>81</v>
      </c>
      <c r="B56" s="20" t="s">
        <v>313</v>
      </c>
      <c r="C56" s="84">
        <f t="shared" si="4"/>
        <v>0</v>
      </c>
      <c r="D56" s="88">
        <v>0</v>
      </c>
      <c r="E56" s="88">
        <v>0</v>
      </c>
      <c r="F56" s="88">
        <v>0</v>
      </c>
      <c r="G56" s="88">
        <v>0</v>
      </c>
      <c r="H56" s="88">
        <v>0</v>
      </c>
    </row>
    <row r="57" spans="1:8">
      <c r="A57" s="87" t="s">
        <v>82</v>
      </c>
      <c r="B57" s="20" t="s">
        <v>314</v>
      </c>
      <c r="C57" s="84">
        <f t="shared" si="4"/>
        <v>0</v>
      </c>
      <c r="D57" s="88">
        <v>0</v>
      </c>
      <c r="E57" s="88">
        <v>0</v>
      </c>
      <c r="F57" s="88">
        <v>0</v>
      </c>
      <c r="G57" s="88">
        <v>0</v>
      </c>
      <c r="H57" s="88">
        <v>0</v>
      </c>
    </row>
    <row r="58" spans="1:8">
      <c r="A58" s="87" t="s">
        <v>93</v>
      </c>
      <c r="B58" s="20" t="s">
        <v>315</v>
      </c>
      <c r="C58" s="84">
        <f t="shared" si="4"/>
        <v>0</v>
      </c>
      <c r="D58" s="88">
        <v>0</v>
      </c>
      <c r="E58" s="88">
        <v>0</v>
      </c>
      <c r="F58" s="88">
        <v>0</v>
      </c>
      <c r="G58" s="88">
        <v>0</v>
      </c>
      <c r="H58" s="88">
        <v>0</v>
      </c>
    </row>
    <row r="59" spans="1:8">
      <c r="A59" s="87" t="s">
        <v>94</v>
      </c>
      <c r="B59" s="20" t="s">
        <v>316</v>
      </c>
      <c r="C59" s="84">
        <f t="shared" si="4"/>
        <v>0</v>
      </c>
      <c r="D59" s="88">
        <v>0</v>
      </c>
      <c r="E59" s="88">
        <v>0</v>
      </c>
      <c r="F59" s="88">
        <v>0</v>
      </c>
      <c r="G59" s="88">
        <v>0</v>
      </c>
      <c r="H59" s="88">
        <v>0</v>
      </c>
    </row>
    <row r="60" spans="1:8">
      <c r="A60" s="87" t="s">
        <v>151</v>
      </c>
      <c r="B60" s="20" t="s">
        <v>317</v>
      </c>
      <c r="C60" s="84">
        <f t="shared" si="4"/>
        <v>10150</v>
      </c>
      <c r="D60" s="88">
        <v>9590</v>
      </c>
      <c r="E60" s="88">
        <v>0</v>
      </c>
      <c r="F60" s="88">
        <v>0</v>
      </c>
      <c r="G60" s="88">
        <v>0</v>
      </c>
      <c r="H60" s="88">
        <v>560</v>
      </c>
    </row>
    <row r="61" spans="1:8">
      <c r="A61" s="87" t="s">
        <v>153</v>
      </c>
      <c r="B61" s="20" t="s">
        <v>318</v>
      </c>
      <c r="C61" s="84">
        <f t="shared" si="4"/>
        <v>0</v>
      </c>
      <c r="D61" s="88">
        <v>0</v>
      </c>
      <c r="E61" s="88">
        <v>0</v>
      </c>
      <c r="F61" s="88">
        <v>0</v>
      </c>
      <c r="G61" s="88">
        <v>0</v>
      </c>
      <c r="H61" s="88">
        <v>0</v>
      </c>
    </row>
    <row r="62" spans="1:8">
      <c r="A62" s="87" t="s">
        <v>155</v>
      </c>
      <c r="B62" s="20" t="s">
        <v>319</v>
      </c>
      <c r="C62" s="84">
        <f t="shared" si="4"/>
        <v>0</v>
      </c>
      <c r="D62" s="88">
        <v>0</v>
      </c>
      <c r="E62" s="88">
        <v>0</v>
      </c>
      <c r="F62" s="88">
        <v>0</v>
      </c>
      <c r="G62" s="88">
        <v>0</v>
      </c>
      <c r="H62" s="88">
        <v>0</v>
      </c>
    </row>
    <row r="63" spans="1:8" s="7" customFormat="1">
      <c r="A63" s="87" t="s">
        <v>157</v>
      </c>
      <c r="B63" s="20" t="s">
        <v>320</v>
      </c>
      <c r="C63" s="84">
        <f t="shared" si="4"/>
        <v>29070</v>
      </c>
      <c r="D63" s="88">
        <v>0</v>
      </c>
      <c r="E63" s="88">
        <v>0</v>
      </c>
      <c r="F63" s="88">
        <v>0</v>
      </c>
      <c r="G63" s="88">
        <v>0</v>
      </c>
      <c r="H63" s="88">
        <v>29070</v>
      </c>
    </row>
    <row r="64" spans="1:8" s="10" customFormat="1">
      <c r="A64" s="87" t="s">
        <v>159</v>
      </c>
      <c r="B64" s="20" t="s">
        <v>321</v>
      </c>
      <c r="C64" s="84">
        <f t="shared" si="4"/>
        <v>426670</v>
      </c>
      <c r="D64" s="88">
        <v>5020</v>
      </c>
      <c r="E64" s="88">
        <v>7420</v>
      </c>
      <c r="F64" s="88">
        <v>570</v>
      </c>
      <c r="G64" s="88">
        <v>1190</v>
      </c>
      <c r="H64" s="88">
        <v>412470</v>
      </c>
    </row>
    <row r="65" spans="1:10">
      <c r="A65" s="87"/>
      <c r="B65" s="20"/>
      <c r="C65" s="84">
        <f t="shared" si="4"/>
        <v>0</v>
      </c>
      <c r="D65" s="88"/>
      <c r="E65" s="88"/>
      <c r="F65" s="88"/>
      <c r="G65" s="88"/>
      <c r="H65" s="88"/>
    </row>
    <row r="66" spans="1:10" s="7" customFormat="1">
      <c r="A66" s="67"/>
      <c r="B66" s="89" t="s">
        <v>300</v>
      </c>
      <c r="C66" s="72">
        <f t="shared" ref="C66:H66" si="5">SUM(C50:C65)</f>
        <v>519030</v>
      </c>
      <c r="D66" s="72">
        <f t="shared" si="5"/>
        <v>15800</v>
      </c>
      <c r="E66" s="72">
        <f t="shared" si="5"/>
        <v>14960</v>
      </c>
      <c r="F66" s="72">
        <f t="shared" si="5"/>
        <v>570</v>
      </c>
      <c r="G66" s="72">
        <f t="shared" si="5"/>
        <v>1190</v>
      </c>
      <c r="H66" s="72">
        <f t="shared" si="5"/>
        <v>486510</v>
      </c>
    </row>
    <row r="68" spans="1:10" s="9" customFormat="1" ht="12">
      <c r="A68" s="71" t="s">
        <v>69</v>
      </c>
      <c r="B68" s="71" t="s">
        <v>324</v>
      </c>
      <c r="C68" s="71" t="s">
        <v>239</v>
      </c>
      <c r="D68" s="71" t="s">
        <v>258</v>
      </c>
      <c r="E68" s="71" t="s">
        <v>389</v>
      </c>
      <c r="F68" s="71" t="s">
        <v>264</v>
      </c>
      <c r="G68" s="71" t="s">
        <v>390</v>
      </c>
      <c r="H68" s="71" t="s">
        <v>391</v>
      </c>
    </row>
    <row r="69" spans="1:10" s="80" customFormat="1">
      <c r="A69" s="93" t="s">
        <v>323</v>
      </c>
      <c r="D69" s="80">
        <v>111</v>
      </c>
      <c r="E69" s="80">
        <v>121</v>
      </c>
      <c r="F69" s="80">
        <v>131</v>
      </c>
      <c r="G69" s="80">
        <v>133</v>
      </c>
      <c r="H69" s="80">
        <v>141</v>
      </c>
    </row>
    <row r="70" spans="1:10" s="83" customFormat="1">
      <c r="A70" s="87" t="s">
        <v>74</v>
      </c>
      <c r="B70" s="20" t="s">
        <v>325</v>
      </c>
      <c r="C70" s="84">
        <f t="shared" ref="C70:C91" si="6">SUM(D70:H70)</f>
        <v>0</v>
      </c>
      <c r="D70" s="88">
        <v>0</v>
      </c>
      <c r="E70" s="88">
        <v>0</v>
      </c>
      <c r="F70" s="88">
        <v>0</v>
      </c>
      <c r="G70" s="88">
        <v>0</v>
      </c>
      <c r="H70" s="88">
        <v>0</v>
      </c>
    </row>
    <row r="71" spans="1:10">
      <c r="A71" s="87" t="s">
        <v>76</v>
      </c>
      <c r="B71" s="20" t="s">
        <v>326</v>
      </c>
      <c r="C71" s="84">
        <f t="shared" si="6"/>
        <v>0</v>
      </c>
      <c r="D71" s="88">
        <v>0</v>
      </c>
      <c r="E71" s="88">
        <v>0</v>
      </c>
      <c r="F71" s="88">
        <v>0</v>
      </c>
      <c r="G71" s="88">
        <v>0</v>
      </c>
      <c r="H71" s="88">
        <v>0</v>
      </c>
    </row>
    <row r="72" spans="1:10" s="20" customFormat="1">
      <c r="A72" s="87" t="s">
        <v>77</v>
      </c>
      <c r="B72" s="20" t="s">
        <v>327</v>
      </c>
      <c r="C72" s="84">
        <f t="shared" si="6"/>
        <v>0</v>
      </c>
      <c r="D72" s="88">
        <v>0</v>
      </c>
      <c r="E72" s="88">
        <v>0</v>
      </c>
      <c r="F72" s="88">
        <v>0</v>
      </c>
      <c r="G72" s="88">
        <v>0</v>
      </c>
      <c r="H72" s="88">
        <v>0</v>
      </c>
    </row>
    <row r="73" spans="1:10" s="20" customFormat="1">
      <c r="A73" s="87" t="s">
        <v>78</v>
      </c>
      <c r="B73" s="20" t="s">
        <v>328</v>
      </c>
      <c r="C73" s="84">
        <f t="shared" si="6"/>
        <v>0</v>
      </c>
      <c r="D73" s="88">
        <v>0</v>
      </c>
      <c r="E73" s="88">
        <v>0</v>
      </c>
      <c r="F73" s="88">
        <v>0</v>
      </c>
      <c r="G73" s="88">
        <v>0</v>
      </c>
      <c r="H73" s="88">
        <v>0</v>
      </c>
    </row>
    <row r="74" spans="1:10">
      <c r="A74" s="87" t="s">
        <v>79</v>
      </c>
      <c r="B74" s="20" t="s">
        <v>329</v>
      </c>
      <c r="C74" s="84">
        <f t="shared" si="6"/>
        <v>4005310</v>
      </c>
      <c r="D74" s="88">
        <v>0</v>
      </c>
      <c r="E74" s="88">
        <v>0</v>
      </c>
      <c r="F74" s="88">
        <v>0</v>
      </c>
      <c r="G74" s="88">
        <v>0</v>
      </c>
      <c r="H74" s="88">
        <v>4005310</v>
      </c>
      <c r="I74" s="236"/>
    </row>
    <row r="75" spans="1:10">
      <c r="A75" s="87" t="s">
        <v>80</v>
      </c>
      <c r="B75" s="20" t="s">
        <v>330</v>
      </c>
      <c r="C75" s="84">
        <f t="shared" si="6"/>
        <v>1140</v>
      </c>
      <c r="D75" s="88">
        <v>0</v>
      </c>
      <c r="E75" s="88">
        <v>0</v>
      </c>
      <c r="F75" s="88">
        <v>0</v>
      </c>
      <c r="G75" s="88">
        <v>0</v>
      </c>
      <c r="H75" s="88">
        <v>1140</v>
      </c>
    </row>
    <row r="76" spans="1:10">
      <c r="A76" s="87" t="s">
        <v>81</v>
      </c>
      <c r="B76" s="20" t="s">
        <v>331</v>
      </c>
      <c r="C76" s="84">
        <f t="shared" si="6"/>
        <v>429910</v>
      </c>
      <c r="D76" s="88">
        <v>0</v>
      </c>
      <c r="E76" s="88">
        <v>429910</v>
      </c>
      <c r="F76" s="88">
        <v>0</v>
      </c>
      <c r="G76" s="88">
        <v>0</v>
      </c>
      <c r="H76" s="88">
        <v>0</v>
      </c>
    </row>
    <row r="77" spans="1:10">
      <c r="A77" s="87" t="s">
        <v>82</v>
      </c>
      <c r="B77" s="20" t="s">
        <v>332</v>
      </c>
      <c r="C77" s="84">
        <f t="shared" si="6"/>
        <v>77800</v>
      </c>
      <c r="D77" s="88">
        <v>0</v>
      </c>
      <c r="E77" s="88">
        <v>0</v>
      </c>
      <c r="F77" s="88">
        <v>0</v>
      </c>
      <c r="G77" s="88">
        <v>0</v>
      </c>
      <c r="H77" s="88">
        <v>77800</v>
      </c>
    </row>
    <row r="78" spans="1:10">
      <c r="A78" s="87" t="s">
        <v>93</v>
      </c>
      <c r="B78" s="20" t="s">
        <v>333</v>
      </c>
      <c r="C78" s="84">
        <f t="shared" si="6"/>
        <v>76500</v>
      </c>
      <c r="D78" s="88">
        <v>49450</v>
      </c>
      <c r="E78" s="88">
        <v>0</v>
      </c>
      <c r="F78" s="88">
        <v>0</v>
      </c>
      <c r="G78" s="88">
        <v>8470</v>
      </c>
      <c r="H78" s="88">
        <v>18580</v>
      </c>
      <c r="J78" s="236"/>
    </row>
    <row r="79" spans="1:10">
      <c r="A79" s="87" t="s">
        <v>94</v>
      </c>
      <c r="B79" s="20" t="s">
        <v>334</v>
      </c>
      <c r="C79" s="84">
        <f t="shared" si="6"/>
        <v>17960</v>
      </c>
      <c r="D79" s="88">
        <v>17960</v>
      </c>
      <c r="E79" s="88">
        <v>0</v>
      </c>
      <c r="F79" s="88">
        <v>0</v>
      </c>
      <c r="G79" s="88">
        <v>0</v>
      </c>
      <c r="H79" s="88">
        <v>0</v>
      </c>
    </row>
    <row r="80" spans="1:10">
      <c r="A80" s="87" t="s">
        <v>151</v>
      </c>
      <c r="B80" s="20" t="s">
        <v>335</v>
      </c>
      <c r="C80" s="84">
        <f t="shared" si="6"/>
        <v>848510</v>
      </c>
      <c r="D80" s="88"/>
      <c r="E80" s="88">
        <v>0</v>
      </c>
      <c r="F80" s="88">
        <v>0</v>
      </c>
      <c r="G80" s="88">
        <v>608860</v>
      </c>
      <c r="H80" s="88">
        <v>239650</v>
      </c>
    </row>
    <row r="81" spans="1:9">
      <c r="A81" s="87" t="s">
        <v>153</v>
      </c>
      <c r="B81" s="20" t="s">
        <v>336</v>
      </c>
      <c r="C81" s="84">
        <f t="shared" si="6"/>
        <v>1891130</v>
      </c>
      <c r="D81" s="88">
        <v>0</v>
      </c>
      <c r="E81" s="88">
        <v>0</v>
      </c>
      <c r="F81" s="88">
        <v>0</v>
      </c>
      <c r="G81" s="88">
        <v>1891130</v>
      </c>
      <c r="H81" s="88">
        <v>0</v>
      </c>
      <c r="I81" s="236"/>
    </row>
    <row r="82" spans="1:9">
      <c r="A82" s="87" t="s">
        <v>155</v>
      </c>
      <c r="B82" s="20" t="s">
        <v>337</v>
      </c>
      <c r="C82" s="84">
        <f t="shared" si="6"/>
        <v>158110</v>
      </c>
      <c r="D82" s="88">
        <v>0</v>
      </c>
      <c r="E82" s="88">
        <v>0</v>
      </c>
      <c r="F82" s="88">
        <v>0</v>
      </c>
      <c r="G82" s="88">
        <v>0</v>
      </c>
      <c r="H82" s="88">
        <v>158110</v>
      </c>
    </row>
    <row r="83" spans="1:9" s="7" customFormat="1">
      <c r="A83" s="87" t="s">
        <v>157</v>
      </c>
      <c r="B83" s="20" t="s">
        <v>338</v>
      </c>
      <c r="C83" s="84">
        <f t="shared" si="6"/>
        <v>0</v>
      </c>
      <c r="D83" s="88">
        <v>0</v>
      </c>
      <c r="E83" s="88">
        <v>0</v>
      </c>
      <c r="F83" s="88">
        <v>0</v>
      </c>
      <c r="G83" s="88">
        <v>0</v>
      </c>
      <c r="H83" s="88">
        <v>0</v>
      </c>
    </row>
    <row r="84" spans="1:9" s="10" customFormat="1">
      <c r="A84" s="87" t="s">
        <v>159</v>
      </c>
      <c r="B84" s="20" t="s">
        <v>339</v>
      </c>
      <c r="C84" s="84">
        <f t="shared" si="6"/>
        <v>22620</v>
      </c>
      <c r="D84" s="88">
        <v>22620</v>
      </c>
      <c r="E84" s="88">
        <v>0</v>
      </c>
      <c r="F84" s="88">
        <v>0</v>
      </c>
      <c r="G84" s="88">
        <v>0</v>
      </c>
      <c r="H84" s="88">
        <v>0</v>
      </c>
    </row>
    <row r="85" spans="1:9" s="10" customFormat="1">
      <c r="A85" s="87" t="s">
        <v>305</v>
      </c>
      <c r="B85" s="20" t="s">
        <v>340</v>
      </c>
      <c r="C85" s="84">
        <f t="shared" si="6"/>
        <v>0</v>
      </c>
      <c r="D85" s="88">
        <v>0</v>
      </c>
      <c r="E85" s="88">
        <v>0</v>
      </c>
      <c r="F85" s="88">
        <v>0</v>
      </c>
      <c r="G85" s="88">
        <v>0</v>
      </c>
      <c r="H85" s="88">
        <v>0</v>
      </c>
    </row>
    <row r="86" spans="1:9" s="10" customFormat="1">
      <c r="A86" s="87" t="s">
        <v>129</v>
      </c>
      <c r="B86" s="20" t="s">
        <v>341</v>
      </c>
      <c r="C86" s="84">
        <f t="shared" si="6"/>
        <v>242300</v>
      </c>
      <c r="D86" s="88">
        <v>0</v>
      </c>
      <c r="E86" s="88">
        <v>0</v>
      </c>
      <c r="F86" s="88">
        <v>0</v>
      </c>
      <c r="G86" s="88">
        <v>0</v>
      </c>
      <c r="H86" s="88">
        <v>242300</v>
      </c>
    </row>
    <row r="87" spans="1:9" s="10" customFormat="1">
      <c r="A87" s="87" t="s">
        <v>306</v>
      </c>
      <c r="B87" s="20" t="s">
        <v>342</v>
      </c>
      <c r="C87" s="84">
        <f t="shared" si="6"/>
        <v>0</v>
      </c>
      <c r="D87" s="88">
        <v>0</v>
      </c>
      <c r="E87" s="88">
        <v>0</v>
      </c>
      <c r="F87" s="88">
        <v>0</v>
      </c>
      <c r="G87" s="88">
        <v>0</v>
      </c>
      <c r="H87" s="88">
        <v>0</v>
      </c>
    </row>
    <row r="88" spans="1:9" s="10" customFormat="1">
      <c r="A88" s="87" t="s">
        <v>216</v>
      </c>
      <c r="B88" s="20" t="s">
        <v>343</v>
      </c>
      <c r="C88" s="84">
        <f t="shared" si="6"/>
        <v>0</v>
      </c>
      <c r="D88" s="88">
        <v>0</v>
      </c>
      <c r="E88" s="88">
        <v>0</v>
      </c>
      <c r="F88" s="88">
        <v>0</v>
      </c>
      <c r="G88" s="88">
        <v>0</v>
      </c>
      <c r="H88" s="88">
        <v>0</v>
      </c>
    </row>
    <row r="89" spans="1:9" s="10" customFormat="1">
      <c r="A89" s="87" t="s">
        <v>347</v>
      </c>
      <c r="B89" s="20" t="s">
        <v>344</v>
      </c>
      <c r="C89" s="84">
        <f t="shared" si="6"/>
        <v>0</v>
      </c>
      <c r="D89" s="88">
        <v>0</v>
      </c>
      <c r="E89" s="88">
        <v>0</v>
      </c>
      <c r="F89" s="88">
        <v>0</v>
      </c>
      <c r="G89" s="88">
        <v>0</v>
      </c>
      <c r="H89" s="88">
        <v>0</v>
      </c>
    </row>
    <row r="90" spans="1:9" s="10" customFormat="1">
      <c r="A90" s="87" t="s">
        <v>218</v>
      </c>
      <c r="B90" s="20" t="s">
        <v>345</v>
      </c>
      <c r="C90" s="84">
        <f t="shared" si="6"/>
        <v>585580</v>
      </c>
      <c r="D90" s="88">
        <v>3780</v>
      </c>
      <c r="E90" s="88">
        <v>4100</v>
      </c>
      <c r="F90" s="88">
        <v>31950</v>
      </c>
      <c r="G90" s="88">
        <v>16490</v>
      </c>
      <c r="H90" s="88">
        <v>529260</v>
      </c>
    </row>
    <row r="91" spans="1:9">
      <c r="A91" s="87" t="s">
        <v>348</v>
      </c>
      <c r="B91" s="20" t="s">
        <v>346</v>
      </c>
      <c r="C91" s="84">
        <f t="shared" si="6"/>
        <v>1747010</v>
      </c>
      <c r="D91" s="88">
        <v>0</v>
      </c>
      <c r="E91" s="88">
        <v>67320</v>
      </c>
      <c r="F91" s="88">
        <v>103010</v>
      </c>
      <c r="G91" s="88">
        <v>606970</v>
      </c>
      <c r="H91" s="88">
        <v>969710</v>
      </c>
    </row>
    <row r="92" spans="1:9" s="7" customFormat="1">
      <c r="A92" s="67"/>
      <c r="B92" s="89" t="s">
        <v>300</v>
      </c>
      <c r="C92" s="72">
        <f t="shared" ref="C92:H92" si="7">SUM(C70:C91)</f>
        <v>10103880</v>
      </c>
      <c r="D92" s="72">
        <f t="shared" si="7"/>
        <v>93810</v>
      </c>
      <c r="E92" s="72">
        <f t="shared" si="7"/>
        <v>501330</v>
      </c>
      <c r="F92" s="72">
        <f t="shared" si="7"/>
        <v>134960</v>
      </c>
      <c r="G92" s="72">
        <f t="shared" si="7"/>
        <v>3131920</v>
      </c>
      <c r="H92" s="72">
        <f t="shared" si="7"/>
        <v>6241860</v>
      </c>
    </row>
    <row r="94" spans="1:9" s="9" customFormat="1" ht="12">
      <c r="A94" s="71" t="s">
        <v>69</v>
      </c>
      <c r="B94" s="71" t="s">
        <v>349</v>
      </c>
      <c r="C94" s="71" t="s">
        <v>239</v>
      </c>
      <c r="D94" s="71" t="s">
        <v>258</v>
      </c>
      <c r="E94" s="71" t="s">
        <v>389</v>
      </c>
      <c r="F94" s="71" t="s">
        <v>264</v>
      </c>
      <c r="G94" s="71" t="s">
        <v>390</v>
      </c>
      <c r="H94" s="71" t="s">
        <v>391</v>
      </c>
    </row>
    <row r="95" spans="1:9" s="80" customFormat="1">
      <c r="A95" s="93" t="s">
        <v>350</v>
      </c>
      <c r="D95" s="80">
        <v>111</v>
      </c>
      <c r="E95" s="80">
        <v>121</v>
      </c>
      <c r="F95" s="80">
        <v>131</v>
      </c>
      <c r="G95" s="80">
        <v>133</v>
      </c>
      <c r="H95" s="80">
        <v>141</v>
      </c>
    </row>
    <row r="96" spans="1:9" s="83" customFormat="1">
      <c r="A96" s="87" t="s">
        <v>74</v>
      </c>
      <c r="B96" s="20" t="s">
        <v>351</v>
      </c>
      <c r="C96" s="84">
        <f t="shared" ref="C96:C106" si="8">SUM(D96:H96)</f>
        <v>0</v>
      </c>
      <c r="D96" s="88">
        <v>0</v>
      </c>
      <c r="E96" s="88">
        <v>0</v>
      </c>
      <c r="F96" s="88">
        <v>0</v>
      </c>
      <c r="G96" s="88">
        <v>0</v>
      </c>
      <c r="H96" s="88">
        <v>0</v>
      </c>
    </row>
    <row r="97" spans="1:8">
      <c r="A97" s="87" t="s">
        <v>76</v>
      </c>
      <c r="B97" s="20" t="s">
        <v>352</v>
      </c>
      <c r="C97" s="84">
        <f t="shared" si="8"/>
        <v>0</v>
      </c>
      <c r="D97" s="88">
        <v>0</v>
      </c>
      <c r="E97" s="88">
        <v>0</v>
      </c>
      <c r="F97" s="88">
        <v>0</v>
      </c>
      <c r="G97" s="88">
        <v>0</v>
      </c>
      <c r="H97" s="88">
        <v>0</v>
      </c>
    </row>
    <row r="98" spans="1:8" s="20" customFormat="1">
      <c r="A98" s="87" t="s">
        <v>77</v>
      </c>
      <c r="B98" s="20" t="s">
        <v>353</v>
      </c>
      <c r="C98" s="84">
        <f t="shared" si="8"/>
        <v>0</v>
      </c>
      <c r="D98" s="88">
        <v>0</v>
      </c>
      <c r="E98" s="88">
        <v>0</v>
      </c>
      <c r="F98" s="88">
        <v>0</v>
      </c>
      <c r="G98" s="88">
        <v>0</v>
      </c>
      <c r="H98" s="88">
        <v>0</v>
      </c>
    </row>
    <row r="99" spans="1:8" s="20" customFormat="1">
      <c r="A99" s="87" t="s">
        <v>78</v>
      </c>
      <c r="B99" s="20" t="s">
        <v>354</v>
      </c>
      <c r="C99" s="84">
        <f t="shared" si="8"/>
        <v>0</v>
      </c>
      <c r="D99" s="88">
        <v>0</v>
      </c>
      <c r="E99" s="88">
        <v>0</v>
      </c>
      <c r="F99" s="88">
        <v>0</v>
      </c>
      <c r="G99" s="88">
        <v>0</v>
      </c>
      <c r="H99" s="88">
        <v>0</v>
      </c>
    </row>
    <row r="100" spans="1:8">
      <c r="A100" s="87" t="s">
        <v>79</v>
      </c>
      <c r="B100" s="20" t="s">
        <v>355</v>
      </c>
      <c r="C100" s="84">
        <f t="shared" si="8"/>
        <v>0</v>
      </c>
      <c r="D100" s="88">
        <v>0</v>
      </c>
      <c r="E100" s="88">
        <v>0</v>
      </c>
      <c r="F100" s="88">
        <v>0</v>
      </c>
      <c r="G100" s="88">
        <v>0</v>
      </c>
      <c r="H100" s="88">
        <v>0</v>
      </c>
    </row>
    <row r="101" spans="1:8">
      <c r="A101" s="87" t="s">
        <v>80</v>
      </c>
      <c r="B101" s="20" t="s">
        <v>356</v>
      </c>
      <c r="C101" s="84">
        <f t="shared" si="8"/>
        <v>0</v>
      </c>
      <c r="D101" s="88">
        <v>0</v>
      </c>
      <c r="E101" s="88">
        <v>0</v>
      </c>
      <c r="F101" s="88">
        <v>0</v>
      </c>
      <c r="G101" s="88">
        <v>0</v>
      </c>
      <c r="H101" s="88">
        <v>0</v>
      </c>
    </row>
    <row r="102" spans="1:8">
      <c r="A102" s="87" t="s">
        <v>81</v>
      </c>
      <c r="B102" s="20" t="s">
        <v>357</v>
      </c>
      <c r="C102" s="84">
        <f t="shared" si="8"/>
        <v>0</v>
      </c>
      <c r="D102" s="88">
        <v>0</v>
      </c>
      <c r="E102" s="88">
        <v>0</v>
      </c>
      <c r="F102" s="88">
        <v>0</v>
      </c>
      <c r="G102" s="88">
        <v>0</v>
      </c>
      <c r="H102" s="88">
        <v>0</v>
      </c>
    </row>
    <row r="103" spans="1:8">
      <c r="A103" s="87" t="s">
        <v>82</v>
      </c>
      <c r="B103" s="20" t="s">
        <v>358</v>
      </c>
      <c r="C103" s="84">
        <f t="shared" si="8"/>
        <v>0</v>
      </c>
      <c r="D103" s="88">
        <v>0</v>
      </c>
      <c r="E103" s="88">
        <v>0</v>
      </c>
      <c r="F103" s="88">
        <v>0</v>
      </c>
      <c r="G103" s="88">
        <v>0</v>
      </c>
      <c r="H103" s="88">
        <v>0</v>
      </c>
    </row>
    <row r="104" spans="1:8">
      <c r="A104" s="87" t="s">
        <v>93</v>
      </c>
      <c r="B104" s="20" t="s">
        <v>359</v>
      </c>
      <c r="C104" s="84">
        <f t="shared" si="8"/>
        <v>17960</v>
      </c>
      <c r="D104" s="88">
        <v>0</v>
      </c>
      <c r="E104" s="88">
        <v>0</v>
      </c>
      <c r="F104" s="88">
        <v>17960</v>
      </c>
      <c r="G104" s="88">
        <v>0</v>
      </c>
      <c r="H104" s="88">
        <v>0</v>
      </c>
    </row>
    <row r="105" spans="1:8">
      <c r="A105" s="87" t="s">
        <v>94</v>
      </c>
      <c r="B105" s="20" t="s">
        <v>360</v>
      </c>
      <c r="C105" s="84">
        <f t="shared" si="8"/>
        <v>0</v>
      </c>
      <c r="D105" s="88">
        <v>0</v>
      </c>
      <c r="E105" s="88">
        <v>0</v>
      </c>
      <c r="F105" s="88">
        <v>0</v>
      </c>
      <c r="G105" s="88">
        <v>0</v>
      </c>
      <c r="H105" s="88">
        <v>0</v>
      </c>
    </row>
    <row r="106" spans="1:8">
      <c r="A106" s="87" t="s">
        <v>362</v>
      </c>
      <c r="B106" s="20" t="s">
        <v>361</v>
      </c>
      <c r="C106" s="84">
        <f t="shared" si="8"/>
        <v>74210</v>
      </c>
      <c r="D106" s="88">
        <v>47880</v>
      </c>
      <c r="E106" s="88">
        <v>0</v>
      </c>
      <c r="F106" s="88">
        <v>0</v>
      </c>
      <c r="G106" s="88">
        <v>0</v>
      </c>
      <c r="H106" s="88">
        <v>26330</v>
      </c>
    </row>
    <row r="107" spans="1:8" s="7" customFormat="1">
      <c r="A107" s="67"/>
      <c r="B107" s="89" t="s">
        <v>300</v>
      </c>
      <c r="C107" s="72">
        <f t="shared" ref="C107:H107" si="9">SUM(C96:C106)</f>
        <v>92170</v>
      </c>
      <c r="D107" s="72">
        <f t="shared" si="9"/>
        <v>47880</v>
      </c>
      <c r="E107" s="72">
        <f t="shared" si="9"/>
        <v>0</v>
      </c>
      <c r="F107" s="72">
        <f t="shared" si="9"/>
        <v>17960</v>
      </c>
      <c r="G107" s="72">
        <f t="shared" si="9"/>
        <v>0</v>
      </c>
      <c r="H107" s="72">
        <f t="shared" si="9"/>
        <v>26330</v>
      </c>
    </row>
    <row r="109" spans="1:8" s="9" customFormat="1" ht="12">
      <c r="A109" s="71" t="s">
        <v>69</v>
      </c>
      <c r="B109" s="71" t="s">
        <v>375</v>
      </c>
      <c r="C109" s="71" t="s">
        <v>239</v>
      </c>
      <c r="D109" s="71" t="s">
        <v>258</v>
      </c>
      <c r="E109" s="71" t="s">
        <v>389</v>
      </c>
      <c r="F109" s="71" t="s">
        <v>264</v>
      </c>
      <c r="G109" s="71" t="s">
        <v>390</v>
      </c>
      <c r="H109" s="71" t="s">
        <v>391</v>
      </c>
    </row>
    <row r="110" spans="1:8" s="80" customFormat="1">
      <c r="A110" s="9"/>
      <c r="D110" s="80">
        <v>111</v>
      </c>
      <c r="E110" s="80">
        <v>121</v>
      </c>
      <c r="F110" s="80">
        <v>131</v>
      </c>
      <c r="G110" s="80">
        <v>133</v>
      </c>
      <c r="H110" s="80">
        <v>141</v>
      </c>
    </row>
    <row r="111" spans="1:8" s="10" customFormat="1">
      <c r="A111" s="90" t="s">
        <v>366</v>
      </c>
      <c r="B111" s="91" t="s">
        <v>364</v>
      </c>
      <c r="C111" s="92">
        <f t="shared" ref="C111:C123" si="10">SUM(D111:H111)</f>
        <v>0</v>
      </c>
      <c r="D111" s="92">
        <f>+D112</f>
        <v>0</v>
      </c>
      <c r="E111" s="92">
        <f>+E112</f>
        <v>0</v>
      </c>
      <c r="F111" s="92">
        <f>+F112</f>
        <v>0</v>
      </c>
      <c r="G111" s="92">
        <f>+G112</f>
        <v>0</v>
      </c>
      <c r="H111" s="92">
        <f>+H112</f>
        <v>0</v>
      </c>
    </row>
    <row r="112" spans="1:8">
      <c r="A112" s="87" t="s">
        <v>363</v>
      </c>
      <c r="B112" s="20" t="s">
        <v>365</v>
      </c>
      <c r="C112" s="84">
        <f t="shared" si="10"/>
        <v>0</v>
      </c>
      <c r="D112" s="88">
        <v>0</v>
      </c>
      <c r="E112" s="88">
        <v>0</v>
      </c>
      <c r="F112" s="88">
        <v>0</v>
      </c>
      <c r="G112" s="88">
        <v>0</v>
      </c>
      <c r="H112" s="88">
        <v>0</v>
      </c>
    </row>
    <row r="113" spans="1:8" s="10" customFormat="1">
      <c r="A113" s="90" t="s">
        <v>367</v>
      </c>
      <c r="B113" s="91" t="s">
        <v>369</v>
      </c>
      <c r="C113" s="92">
        <f t="shared" si="10"/>
        <v>773240</v>
      </c>
      <c r="D113" s="92">
        <f>+D114</f>
        <v>773240</v>
      </c>
      <c r="E113" s="92">
        <f>+E114</f>
        <v>0</v>
      </c>
      <c r="F113" s="92">
        <f>+F114</f>
        <v>0</v>
      </c>
      <c r="G113" s="92">
        <f>+G114</f>
        <v>0</v>
      </c>
      <c r="H113" s="92">
        <f>+H114</f>
        <v>0</v>
      </c>
    </row>
    <row r="114" spans="1:8">
      <c r="A114" s="87" t="s">
        <v>368</v>
      </c>
      <c r="B114" s="20" t="s">
        <v>370</v>
      </c>
      <c r="C114" s="84">
        <f t="shared" si="10"/>
        <v>773240</v>
      </c>
      <c r="D114" s="88">
        <v>773240</v>
      </c>
      <c r="E114" s="88">
        <v>0</v>
      </c>
      <c r="F114" s="88">
        <v>0</v>
      </c>
      <c r="G114" s="88">
        <v>0</v>
      </c>
      <c r="H114" s="88">
        <v>0</v>
      </c>
    </row>
    <row r="115" spans="1:8" s="10" customFormat="1">
      <c r="A115" s="90" t="s">
        <v>386</v>
      </c>
      <c r="B115" s="91" t="s">
        <v>387</v>
      </c>
      <c r="C115" s="92">
        <f t="shared" si="10"/>
        <v>0</v>
      </c>
      <c r="D115" s="92">
        <f>+D116</f>
        <v>0</v>
      </c>
      <c r="E115" s="92">
        <f>+E116</f>
        <v>0</v>
      </c>
      <c r="F115" s="92">
        <f>+F116</f>
        <v>0</v>
      </c>
      <c r="G115" s="92">
        <f>+G116</f>
        <v>0</v>
      </c>
      <c r="H115" s="92">
        <f>+H116</f>
        <v>0</v>
      </c>
    </row>
    <row r="116" spans="1:8">
      <c r="A116" s="87" t="s">
        <v>386</v>
      </c>
      <c r="B116" s="20" t="s">
        <v>388</v>
      </c>
      <c r="C116" s="84">
        <f t="shared" si="10"/>
        <v>0</v>
      </c>
      <c r="D116" s="88">
        <v>0</v>
      </c>
      <c r="E116" s="88">
        <v>0</v>
      </c>
      <c r="F116" s="88">
        <v>0</v>
      </c>
      <c r="G116" s="88">
        <v>0</v>
      </c>
      <c r="H116" s="88">
        <v>0</v>
      </c>
    </row>
    <row r="117" spans="1:8" s="10" customFormat="1">
      <c r="A117" s="90" t="s">
        <v>371</v>
      </c>
      <c r="B117" s="91" t="s">
        <v>372</v>
      </c>
      <c r="C117" s="92">
        <f t="shared" si="10"/>
        <v>0</v>
      </c>
      <c r="D117" s="92">
        <f>+D118</f>
        <v>0</v>
      </c>
      <c r="E117" s="92">
        <f>+E118</f>
        <v>0</v>
      </c>
      <c r="F117" s="92">
        <f>+F118</f>
        <v>0</v>
      </c>
      <c r="G117" s="92">
        <f>+G118</f>
        <v>0</v>
      </c>
      <c r="H117" s="92">
        <f>+H118</f>
        <v>0</v>
      </c>
    </row>
    <row r="118" spans="1:8">
      <c r="A118" s="87" t="s">
        <v>374</v>
      </c>
      <c r="B118" s="20" t="s">
        <v>373</v>
      </c>
      <c r="C118" s="84">
        <f t="shared" si="10"/>
        <v>0</v>
      </c>
      <c r="D118" s="88">
        <v>0</v>
      </c>
      <c r="E118" s="88">
        <v>0</v>
      </c>
      <c r="F118" s="88">
        <v>0</v>
      </c>
      <c r="G118" s="88">
        <v>0</v>
      </c>
      <c r="H118" s="88">
        <v>0</v>
      </c>
    </row>
    <row r="119" spans="1:8" s="10" customFormat="1">
      <c r="A119" s="90" t="s">
        <v>376</v>
      </c>
      <c r="B119" s="91" t="s">
        <v>377</v>
      </c>
      <c r="C119" s="92">
        <f t="shared" si="10"/>
        <v>1384920</v>
      </c>
      <c r="D119" s="92">
        <f>+D120</f>
        <v>1384920</v>
      </c>
      <c r="E119" s="92">
        <f>+E120</f>
        <v>0</v>
      </c>
      <c r="F119" s="92">
        <f>+F120</f>
        <v>0</v>
      </c>
      <c r="G119" s="92">
        <f>+G120</f>
        <v>0</v>
      </c>
      <c r="H119" s="92">
        <f>+H120</f>
        <v>0</v>
      </c>
    </row>
    <row r="120" spans="1:8">
      <c r="A120" s="87" t="s">
        <v>378</v>
      </c>
      <c r="B120" s="20" t="s">
        <v>379</v>
      </c>
      <c r="C120" s="84">
        <f t="shared" si="10"/>
        <v>1384920</v>
      </c>
      <c r="D120" s="88">
        <v>1384920</v>
      </c>
      <c r="E120" s="88">
        <v>0</v>
      </c>
      <c r="F120" s="88">
        <v>0</v>
      </c>
      <c r="G120" s="88">
        <v>0</v>
      </c>
      <c r="H120" s="88">
        <v>0</v>
      </c>
    </row>
    <row r="121" spans="1:8" s="10" customFormat="1">
      <c r="A121" s="90" t="s">
        <v>380</v>
      </c>
      <c r="B121" s="91" t="s">
        <v>381</v>
      </c>
      <c r="C121" s="92">
        <f t="shared" si="10"/>
        <v>0</v>
      </c>
      <c r="D121" s="92">
        <f>SUM(D122:D123)</f>
        <v>0</v>
      </c>
      <c r="E121" s="92">
        <f>SUM(E122:E123)</f>
        <v>0</v>
      </c>
      <c r="F121" s="92">
        <f>SUM(F122:F123)</f>
        <v>0</v>
      </c>
      <c r="G121" s="92">
        <f>SUM(G122:G123)</f>
        <v>0</v>
      </c>
      <c r="H121" s="92">
        <f>SUM(H122:H123)</f>
        <v>0</v>
      </c>
    </row>
    <row r="122" spans="1:8">
      <c r="A122" s="87" t="s">
        <v>382</v>
      </c>
      <c r="B122" s="20" t="s">
        <v>384</v>
      </c>
      <c r="C122" s="84">
        <f t="shared" si="10"/>
        <v>0</v>
      </c>
      <c r="D122" s="88">
        <v>0</v>
      </c>
      <c r="E122" s="88">
        <v>0</v>
      </c>
      <c r="F122" s="88">
        <v>0</v>
      </c>
      <c r="G122" s="88">
        <v>0</v>
      </c>
      <c r="H122" s="88">
        <v>0</v>
      </c>
    </row>
    <row r="123" spans="1:8">
      <c r="A123" s="87" t="s">
        <v>383</v>
      </c>
      <c r="B123" s="20" t="s">
        <v>385</v>
      </c>
      <c r="C123" s="84">
        <f t="shared" si="10"/>
        <v>0</v>
      </c>
      <c r="D123" s="88">
        <v>0</v>
      </c>
      <c r="E123" s="88">
        <v>0</v>
      </c>
      <c r="F123" s="88">
        <v>0</v>
      </c>
      <c r="G123" s="88">
        <v>0</v>
      </c>
      <c r="H123" s="88">
        <v>0</v>
      </c>
    </row>
    <row r="124" spans="1:8" s="7" customFormat="1">
      <c r="A124" s="67"/>
      <c r="B124" s="89" t="s">
        <v>300</v>
      </c>
      <c r="C124" s="72">
        <f t="shared" ref="C124:H124" si="11">+C111+C113+C115+C117+C119+C121</f>
        <v>2158160</v>
      </c>
      <c r="D124" s="72">
        <f t="shared" si="11"/>
        <v>2158160</v>
      </c>
      <c r="E124" s="72">
        <f t="shared" si="11"/>
        <v>0</v>
      </c>
      <c r="F124" s="72">
        <f t="shared" si="11"/>
        <v>0</v>
      </c>
      <c r="G124" s="72">
        <f t="shared" si="11"/>
        <v>0</v>
      </c>
      <c r="H124" s="72">
        <f t="shared" si="11"/>
        <v>0</v>
      </c>
    </row>
    <row r="125" spans="1:8" s="7" customFormat="1">
      <c r="A125" s="67"/>
      <c r="B125" s="89" t="s">
        <v>393</v>
      </c>
      <c r="C125" s="72">
        <f t="shared" ref="C125:H125" si="12">+C28+C46+C66+C92+C107+C124</f>
        <v>20510200</v>
      </c>
      <c r="D125" s="72">
        <f t="shared" si="12"/>
        <v>2939910</v>
      </c>
      <c r="E125" s="72">
        <f t="shared" si="12"/>
        <v>3134310</v>
      </c>
      <c r="F125" s="72">
        <f t="shared" si="12"/>
        <v>1585710</v>
      </c>
      <c r="G125" s="72">
        <f t="shared" si="12"/>
        <v>4736560</v>
      </c>
      <c r="H125" s="72">
        <f t="shared" si="12"/>
        <v>8113710</v>
      </c>
    </row>
    <row r="127" spans="1:8">
      <c r="C127" s="94"/>
    </row>
    <row r="128" spans="1:8">
      <c r="C128" s="94"/>
    </row>
  </sheetData>
  <mergeCells count="3">
    <mergeCell ref="B8:H8"/>
    <mergeCell ref="B9:H9"/>
    <mergeCell ref="B10:H10"/>
  </mergeCells>
  <printOptions horizontalCentered="1"/>
  <pageMargins left="0" right="0" top="0.55118110236220474" bottom="0.35433070866141736" header="0.31496062992125984" footer="0.31496062992125984"/>
  <pageSetup paperSize="9" scale="65" orientation="landscape" r:id="rId1"/>
  <rowBreaks count="2" manualBreakCount="2">
    <brk id="46" max="16383" man="1"/>
    <brk id="92" max="16383" man="1"/>
  </rowBreaks>
  <drawing r:id="rId2"/>
</worksheet>
</file>

<file path=xl/worksheets/sheet9.xml><?xml version="1.0" encoding="utf-8"?>
<worksheet xmlns="http://schemas.openxmlformats.org/spreadsheetml/2006/main" xmlns:r="http://schemas.openxmlformats.org/officeDocument/2006/relationships">
  <dimension ref="A1:L28"/>
  <sheetViews>
    <sheetView workbookViewId="0">
      <selection activeCell="F27" sqref="F27"/>
    </sheetView>
  </sheetViews>
  <sheetFormatPr baseColWidth="10" defaultRowHeight="15"/>
  <cols>
    <col min="1" max="1" width="25.85546875" bestFit="1" customWidth="1"/>
    <col min="2" max="2" width="12" bestFit="1" customWidth="1"/>
    <col min="3" max="3" width="10.140625" bestFit="1" customWidth="1"/>
    <col min="4" max="4" width="13.85546875" bestFit="1" customWidth="1"/>
    <col min="5" max="7" width="11" bestFit="1" customWidth="1"/>
    <col min="8" max="8" width="10" bestFit="1" customWidth="1"/>
    <col min="9" max="9" width="11" bestFit="1" customWidth="1"/>
    <col min="10" max="10" width="13.85546875" bestFit="1" customWidth="1"/>
    <col min="11" max="11" width="11" bestFit="1" customWidth="1"/>
    <col min="12" max="12" width="12.42578125" bestFit="1" customWidth="1"/>
  </cols>
  <sheetData>
    <row r="1" spans="1:12" s="1" customFormat="1" ht="15" customHeight="1">
      <c r="A1"/>
    </row>
    <row r="2" spans="1:12" s="1" customFormat="1" ht="15" customHeight="1"/>
    <row r="3" spans="1:12" s="1" customFormat="1" ht="15" customHeight="1"/>
    <row r="4" spans="1:12" s="1" customFormat="1" ht="15" customHeight="1"/>
    <row r="5" spans="1:12" s="1" customFormat="1" ht="15" customHeight="1" thickBot="1">
      <c r="A5" s="6"/>
      <c r="B5" s="6"/>
      <c r="C5" s="6"/>
      <c r="D5" s="6"/>
      <c r="E5" s="6"/>
      <c r="F5" s="6"/>
      <c r="G5" s="6"/>
      <c r="H5" s="6"/>
      <c r="I5" s="6"/>
      <c r="J5" s="6"/>
      <c r="K5" s="6"/>
      <c r="L5" s="6"/>
    </row>
    <row r="6" spans="1:12" ht="7.5" customHeight="1" thickTop="1"/>
    <row r="7" spans="1:12" s="20" customFormat="1" ht="12.75">
      <c r="A7" s="20" t="s">
        <v>867</v>
      </c>
    </row>
    <row r="8" spans="1:12">
      <c r="A8" s="390" t="s">
        <v>747</v>
      </c>
      <c r="B8" s="390"/>
      <c r="C8" s="390"/>
      <c r="D8" s="390"/>
      <c r="E8" s="390"/>
      <c r="F8" s="390"/>
      <c r="G8" s="390"/>
      <c r="H8" s="390"/>
      <c r="I8" s="390"/>
      <c r="J8" s="390"/>
      <c r="K8" s="390"/>
      <c r="L8" s="390"/>
    </row>
    <row r="9" spans="1:12">
      <c r="A9" s="390" t="s">
        <v>238</v>
      </c>
      <c r="B9" s="390"/>
      <c r="C9" s="390"/>
      <c r="D9" s="390"/>
      <c r="E9" s="390"/>
      <c r="F9" s="390"/>
      <c r="G9" s="390"/>
      <c r="H9" s="390"/>
      <c r="I9" s="390"/>
      <c r="J9" s="390"/>
      <c r="K9" s="390"/>
      <c r="L9" s="390"/>
    </row>
    <row r="10" spans="1:12">
      <c r="A10" s="391" t="s">
        <v>267</v>
      </c>
      <c r="B10" s="391"/>
      <c r="C10" s="391"/>
      <c r="D10" s="391"/>
      <c r="E10" s="391"/>
      <c r="F10" s="391"/>
      <c r="G10" s="391"/>
      <c r="H10" s="391"/>
      <c r="I10" s="391"/>
      <c r="J10" s="391"/>
      <c r="K10" s="391"/>
    </row>
    <row r="11" spans="1:12" ht="7.5" customHeight="1"/>
    <row r="12" spans="1:12" s="9" customFormat="1" ht="12">
      <c r="A12" s="71" t="s">
        <v>3</v>
      </c>
      <c r="B12" s="71" t="s">
        <v>239</v>
      </c>
      <c r="C12" s="71" t="s">
        <v>269</v>
      </c>
      <c r="D12" s="71" t="s">
        <v>270</v>
      </c>
      <c r="E12" s="71" t="s">
        <v>271</v>
      </c>
      <c r="F12" s="71" t="s">
        <v>272</v>
      </c>
      <c r="G12" s="71" t="s">
        <v>273</v>
      </c>
      <c r="H12" s="71" t="s">
        <v>274</v>
      </c>
      <c r="I12" s="71" t="s">
        <v>275</v>
      </c>
      <c r="J12" s="71" t="s">
        <v>276</v>
      </c>
      <c r="K12" s="71" t="s">
        <v>277</v>
      </c>
      <c r="L12" s="71" t="s">
        <v>278</v>
      </c>
    </row>
    <row r="13" spans="1:12" s="80" customFormat="1">
      <c r="C13" s="80">
        <v>211</v>
      </c>
      <c r="D13" s="80">
        <v>213</v>
      </c>
      <c r="E13" s="80">
        <v>221</v>
      </c>
      <c r="F13" s="80">
        <v>231</v>
      </c>
      <c r="G13" s="80">
        <v>241</v>
      </c>
      <c r="H13" s="80">
        <v>244</v>
      </c>
      <c r="I13" s="80">
        <v>251</v>
      </c>
      <c r="J13" s="80">
        <v>261</v>
      </c>
      <c r="K13" s="80">
        <v>281</v>
      </c>
      <c r="L13" s="80">
        <v>291</v>
      </c>
    </row>
    <row r="14" spans="1:12" s="7" customFormat="1">
      <c r="A14" s="67" t="s">
        <v>245</v>
      </c>
      <c r="B14" s="72">
        <f>SUM(B15:B19)</f>
        <v>150502830</v>
      </c>
      <c r="C14" s="75">
        <f t="shared" ref="C14:I14" si="0">SUM(C15:C19)</f>
        <v>6865360</v>
      </c>
      <c r="D14" s="75">
        <f t="shared" si="0"/>
        <v>5176610</v>
      </c>
      <c r="E14" s="75">
        <f t="shared" si="0"/>
        <v>13765210</v>
      </c>
      <c r="F14" s="75">
        <f t="shared" si="0"/>
        <v>20561530</v>
      </c>
      <c r="G14" s="75">
        <f t="shared" si="0"/>
        <v>22888230</v>
      </c>
      <c r="H14" s="75">
        <f t="shared" si="0"/>
        <v>6115840</v>
      </c>
      <c r="I14" s="75">
        <f t="shared" si="0"/>
        <v>12164710</v>
      </c>
      <c r="J14" s="75">
        <f>SUM(J15:J19)</f>
        <v>39781380</v>
      </c>
      <c r="K14" s="75">
        <f>SUM(K15:K19)</f>
        <v>14263500</v>
      </c>
      <c r="L14" s="75">
        <f>SUM(L15:L19)</f>
        <v>8920460</v>
      </c>
    </row>
    <row r="15" spans="1:12">
      <c r="A15" t="s">
        <v>246</v>
      </c>
      <c r="B15" s="70">
        <f>SUM(C15:L15)</f>
        <v>102828190</v>
      </c>
      <c r="C15" s="76">
        <f>+'GOB A'!C16</f>
        <v>3548700</v>
      </c>
      <c r="D15" s="76">
        <f>+'GOB A'!D16</f>
        <v>2840800</v>
      </c>
      <c r="E15" s="76">
        <f>+'GOB A'!E16</f>
        <v>11598910</v>
      </c>
      <c r="F15" s="76">
        <f>+'GOB A'!F16</f>
        <v>18455650</v>
      </c>
      <c r="G15" s="76">
        <f>+'GOB A'!G16</f>
        <v>8839940</v>
      </c>
      <c r="H15" s="76">
        <f>+'GOB A'!H16</f>
        <v>3803290</v>
      </c>
      <c r="I15" s="76">
        <f>+'GOB A'!I16</f>
        <v>5848630</v>
      </c>
      <c r="J15" s="76">
        <f>+'GOB A'!J16</f>
        <v>28177560</v>
      </c>
      <c r="K15" s="76">
        <f>+'GOB A'!K16</f>
        <v>12127990</v>
      </c>
      <c r="L15" s="76">
        <f>+'GOB A'!L16</f>
        <v>7586720</v>
      </c>
    </row>
    <row r="16" spans="1:12">
      <c r="A16" t="s">
        <v>247</v>
      </c>
      <c r="B16" s="70">
        <f t="shared" ref="B16:B26" si="1">SUM(C16:L16)</f>
        <v>4333660</v>
      </c>
      <c r="C16" s="76">
        <f>+'GOB A'!C19</f>
        <v>126590</v>
      </c>
      <c r="D16" s="76">
        <f>+'GOB A'!D19</f>
        <v>686750</v>
      </c>
      <c r="E16" s="76">
        <f>+'GOB A'!E19</f>
        <v>423540</v>
      </c>
      <c r="F16" s="76">
        <f>+'GOB A'!F19</f>
        <v>930620</v>
      </c>
      <c r="G16" s="76">
        <f>+'GOB A'!G19</f>
        <v>695030</v>
      </c>
      <c r="H16" s="76">
        <f>+'GOB A'!H19</f>
        <v>350310</v>
      </c>
      <c r="I16" s="76">
        <f>+'GOB A'!I19</f>
        <v>156480</v>
      </c>
      <c r="J16" s="76">
        <f>+'GOB A'!J19</f>
        <v>511090</v>
      </c>
      <c r="K16" s="76">
        <f>+'GOB A'!K19</f>
        <v>339220</v>
      </c>
      <c r="L16" s="76">
        <f>+'GOB A'!L19</f>
        <v>114030</v>
      </c>
    </row>
    <row r="17" spans="1:12">
      <c r="A17" t="s">
        <v>248</v>
      </c>
      <c r="B17" s="70">
        <f t="shared" si="1"/>
        <v>40707120</v>
      </c>
      <c r="C17" s="76">
        <f>+'GOB A'!C20</f>
        <v>2260420</v>
      </c>
      <c r="D17" s="76">
        <f>+'GOB A'!D20</f>
        <v>1649060</v>
      </c>
      <c r="E17" s="76">
        <f>+'GOB A'!E20</f>
        <v>1742760</v>
      </c>
      <c r="F17" s="76">
        <f>+'GOB A'!F20</f>
        <v>1175260</v>
      </c>
      <c r="G17" s="76">
        <f>+'GOB A'!G20</f>
        <v>13353260</v>
      </c>
      <c r="H17" s="76">
        <f>+'GOB A'!H20</f>
        <v>1962240</v>
      </c>
      <c r="I17" s="76">
        <f>+'GOB A'!I20</f>
        <v>4455390</v>
      </c>
      <c r="J17" s="76">
        <f>+'GOB A'!J20</f>
        <v>11092730</v>
      </c>
      <c r="K17" s="76">
        <f>+'GOB A'!K20</f>
        <v>1796290</v>
      </c>
      <c r="L17" s="76">
        <f>+'GOB A'!L20</f>
        <v>1219710</v>
      </c>
    </row>
    <row r="18" spans="1:12">
      <c r="A18" t="s">
        <v>249</v>
      </c>
      <c r="B18" s="70">
        <f t="shared" si="1"/>
        <v>0</v>
      </c>
      <c r="C18" s="76">
        <f>+'GOB A'!C21</f>
        <v>0</v>
      </c>
      <c r="D18" s="76">
        <f>+'GOB A'!D21</f>
        <v>0</v>
      </c>
      <c r="E18" s="76">
        <f>+'GOB A'!E21</f>
        <v>0</v>
      </c>
      <c r="F18" s="76">
        <f>+'GOB A'!F21</f>
        <v>0</v>
      </c>
      <c r="G18" s="76">
        <f>+'GOB A'!G21</f>
        <v>0</v>
      </c>
      <c r="H18" s="76">
        <f>+'GOB A'!H21</f>
        <v>0</v>
      </c>
      <c r="I18" s="76">
        <f>+'GOB A'!I21</f>
        <v>0</v>
      </c>
      <c r="J18" s="76">
        <f>+'GOB A'!J21</f>
        <v>0</v>
      </c>
      <c r="K18" s="76">
        <f>+'GOB A'!K21</f>
        <v>0</v>
      </c>
      <c r="L18" s="76">
        <f>+'GOB A'!L21</f>
        <v>0</v>
      </c>
    </row>
    <row r="19" spans="1:12">
      <c r="A19" t="s">
        <v>250</v>
      </c>
      <c r="B19" s="70">
        <f t="shared" si="1"/>
        <v>2633860</v>
      </c>
      <c r="C19" s="76">
        <f>+'GOB A'!C22</f>
        <v>929650</v>
      </c>
      <c r="D19" s="76">
        <f>+'GOB A'!D22</f>
        <v>0</v>
      </c>
      <c r="E19" s="76">
        <f>+'GOB A'!E22</f>
        <v>0</v>
      </c>
      <c r="F19" s="76">
        <f>+'GOB A'!F22</f>
        <v>0</v>
      </c>
      <c r="G19" s="76">
        <f>+'GOB A'!G22</f>
        <v>0</v>
      </c>
      <c r="H19" s="76">
        <f>+'GOB A'!H22</f>
        <v>0</v>
      </c>
      <c r="I19" s="76">
        <f>+'GOB A'!I22</f>
        <v>1704210</v>
      </c>
      <c r="J19" s="76">
        <f>+'GOB A'!J22</f>
        <v>0</v>
      </c>
      <c r="K19" s="76">
        <f>+'GOB A'!K22</f>
        <v>0</v>
      </c>
      <c r="L19" s="76">
        <f>+'GOB A'!L22</f>
        <v>0</v>
      </c>
    </row>
    <row r="20" spans="1:12" s="7" customFormat="1">
      <c r="A20" s="67" t="s">
        <v>251</v>
      </c>
      <c r="B20" s="74">
        <f>SUM(B21:B24)</f>
        <v>4183290</v>
      </c>
      <c r="C20" s="72">
        <f t="shared" ref="C20:I20" si="2">SUM(C21:C24)</f>
        <v>204010</v>
      </c>
      <c r="D20" s="72">
        <f t="shared" si="2"/>
        <v>48000</v>
      </c>
      <c r="E20" s="72">
        <f t="shared" si="2"/>
        <v>467830</v>
      </c>
      <c r="F20" s="72">
        <f t="shared" si="2"/>
        <v>122040</v>
      </c>
      <c r="G20" s="72">
        <f t="shared" si="2"/>
        <v>25970</v>
      </c>
      <c r="H20" s="72">
        <f t="shared" si="2"/>
        <v>76590</v>
      </c>
      <c r="I20" s="72">
        <f t="shared" si="2"/>
        <v>52900</v>
      </c>
      <c r="J20" s="72">
        <f>SUM(J21:J24)</f>
        <v>2017000</v>
      </c>
      <c r="K20" s="72">
        <f>SUM(K21:K24)</f>
        <v>934860</v>
      </c>
      <c r="L20" s="72">
        <f>SUM(L21:L24)</f>
        <v>234090</v>
      </c>
    </row>
    <row r="21" spans="1:12">
      <c r="A21" t="s">
        <v>252</v>
      </c>
      <c r="B21" s="70">
        <f t="shared" si="1"/>
        <v>3967830</v>
      </c>
      <c r="C21" s="76">
        <f>+'GOB A'!C25</f>
        <v>204010</v>
      </c>
      <c r="D21" s="76">
        <f>+'GOB A'!D25</f>
        <v>48000</v>
      </c>
      <c r="E21" s="76">
        <f>+'GOB A'!E25</f>
        <v>467830</v>
      </c>
      <c r="F21" s="76">
        <f>+'GOB A'!F25</f>
        <v>122040</v>
      </c>
      <c r="G21" s="76">
        <f>+'GOB A'!G25</f>
        <v>25970</v>
      </c>
      <c r="H21" s="76">
        <f>+'GOB A'!H25</f>
        <v>76590</v>
      </c>
      <c r="I21" s="76">
        <f>+'GOB A'!I25</f>
        <v>52900</v>
      </c>
      <c r="J21" s="76">
        <f>+'GOB A'!J25</f>
        <v>2017000</v>
      </c>
      <c r="K21" s="76">
        <f>+'GOB A'!K25</f>
        <v>934860</v>
      </c>
      <c r="L21" s="76">
        <f>+'GOB A'!L25</f>
        <v>18630</v>
      </c>
    </row>
    <row r="22" spans="1:12">
      <c r="A22" t="s">
        <v>253</v>
      </c>
      <c r="B22" s="70">
        <f t="shared" si="1"/>
        <v>0</v>
      </c>
      <c r="C22" s="76">
        <f>+'GOB A'!C26</f>
        <v>0</v>
      </c>
      <c r="D22" s="76">
        <f>+'GOB A'!D26</f>
        <v>0</v>
      </c>
      <c r="E22" s="76">
        <f>+'GOB A'!E26</f>
        <v>0</v>
      </c>
      <c r="F22" s="76">
        <f>+'GOB A'!F26</f>
        <v>0</v>
      </c>
      <c r="G22" s="76">
        <f>+'GOB A'!G26</f>
        <v>0</v>
      </c>
      <c r="H22" s="76">
        <f>+'GOB A'!H26</f>
        <v>0</v>
      </c>
      <c r="I22" s="76">
        <f>+'GOB A'!I26</f>
        <v>0</v>
      </c>
      <c r="J22" s="76">
        <f>+'GOB A'!J26</f>
        <v>0</v>
      </c>
      <c r="K22" s="76">
        <f>+'GOB A'!K26</f>
        <v>0</v>
      </c>
      <c r="L22" s="76">
        <f>+'GOB A'!L26</f>
        <v>0</v>
      </c>
    </row>
    <row r="23" spans="1:12">
      <c r="A23" t="s">
        <v>254</v>
      </c>
      <c r="B23" s="70">
        <f t="shared" si="1"/>
        <v>215460</v>
      </c>
      <c r="C23" s="76">
        <f>+'GOB A'!C27</f>
        <v>0</v>
      </c>
      <c r="D23" s="76">
        <f>+'GOB A'!D27</f>
        <v>0</v>
      </c>
      <c r="E23" s="76">
        <f>+'GOB A'!E27</f>
        <v>0</v>
      </c>
      <c r="F23" s="76">
        <f>+'GOB A'!F27</f>
        <v>0</v>
      </c>
      <c r="G23" s="76">
        <f>+'GOB A'!G27</f>
        <v>0</v>
      </c>
      <c r="H23" s="76">
        <f>+'GOB A'!H27</f>
        <v>0</v>
      </c>
      <c r="I23" s="76">
        <f>+'GOB A'!I27</f>
        <v>0</v>
      </c>
      <c r="J23" s="76">
        <f>+'GOB A'!J27</f>
        <v>0</v>
      </c>
      <c r="K23" s="76">
        <f>+'GOB A'!K27</f>
        <v>0</v>
      </c>
      <c r="L23" s="76">
        <f>+'GOB A'!L27</f>
        <v>215460</v>
      </c>
    </row>
    <row r="24" spans="1:12">
      <c r="A24" t="s">
        <v>255</v>
      </c>
      <c r="B24" s="70">
        <f t="shared" si="1"/>
        <v>0</v>
      </c>
      <c r="C24" s="76">
        <f>+'GOB A'!C28</f>
        <v>0</v>
      </c>
      <c r="D24" s="76">
        <f>+'GOB A'!D28</f>
        <v>0</v>
      </c>
      <c r="E24" s="76">
        <f>+'GOB A'!E28</f>
        <v>0</v>
      </c>
      <c r="F24" s="76">
        <f>+'GOB A'!F28</f>
        <v>0</v>
      </c>
      <c r="G24" s="76">
        <f>+'GOB A'!G28</f>
        <v>0</v>
      </c>
      <c r="H24" s="76">
        <f>+'GOB A'!H28</f>
        <v>0</v>
      </c>
      <c r="I24" s="76">
        <f>+'GOB A'!I28</f>
        <v>0</v>
      </c>
      <c r="J24" s="76">
        <f>+'GOB A'!J28</f>
        <v>0</v>
      </c>
      <c r="K24" s="76">
        <f>+'GOB A'!K28</f>
        <v>0</v>
      </c>
      <c r="L24" s="76">
        <f>+'GOB A'!L28</f>
        <v>0</v>
      </c>
    </row>
    <row r="25" spans="1:12" s="7" customFormat="1">
      <c r="A25" s="67" t="s">
        <v>45</v>
      </c>
      <c r="B25" s="72">
        <f>+B26</f>
        <v>0</v>
      </c>
      <c r="C25" s="72">
        <f t="shared" ref="C25:L25" si="3">+C26</f>
        <v>0</v>
      </c>
      <c r="D25" s="72">
        <f t="shared" si="3"/>
        <v>0</v>
      </c>
      <c r="E25" s="72">
        <f t="shared" si="3"/>
        <v>0</v>
      </c>
      <c r="F25" s="72">
        <f t="shared" si="3"/>
        <v>0</v>
      </c>
      <c r="G25" s="72">
        <f t="shared" si="3"/>
        <v>0</v>
      </c>
      <c r="H25" s="72">
        <f t="shared" si="3"/>
        <v>0</v>
      </c>
      <c r="I25" s="72">
        <f t="shared" si="3"/>
        <v>0</v>
      </c>
      <c r="J25" s="72">
        <f t="shared" si="3"/>
        <v>0</v>
      </c>
      <c r="K25" s="72">
        <f t="shared" si="3"/>
        <v>0</v>
      </c>
      <c r="L25" s="72">
        <f t="shared" si="3"/>
        <v>0</v>
      </c>
    </row>
    <row r="26" spans="1:12">
      <c r="A26" t="s">
        <v>256</v>
      </c>
      <c r="B26" s="70">
        <f t="shared" si="1"/>
        <v>0</v>
      </c>
      <c r="C26" s="76">
        <f>+'GOB A'!C30</f>
        <v>0</v>
      </c>
      <c r="D26" s="76">
        <f>+'GOB A'!D30</f>
        <v>0</v>
      </c>
      <c r="E26" s="76">
        <f>+'GOB A'!E30</f>
        <v>0</v>
      </c>
      <c r="F26" s="76">
        <f>+'GOB A'!F30</f>
        <v>0</v>
      </c>
      <c r="G26" s="76">
        <f>+'GOB A'!G30</f>
        <v>0</v>
      </c>
      <c r="H26" s="76">
        <f>+'GOB A'!H30</f>
        <v>0</v>
      </c>
      <c r="I26" s="76">
        <f>+'GOB A'!I30</f>
        <v>0</v>
      </c>
      <c r="J26" s="76">
        <f>+'GOB A'!J30</f>
        <v>0</v>
      </c>
      <c r="K26" s="76">
        <f>+'GOB A'!K30</f>
        <v>0</v>
      </c>
      <c r="L26" s="76">
        <f>+'GOB A'!L30</f>
        <v>0</v>
      </c>
    </row>
    <row r="27" spans="1:12" s="7" customFormat="1">
      <c r="A27" s="69" t="s">
        <v>48</v>
      </c>
      <c r="B27" s="72">
        <f>+B14+B20+B25</f>
        <v>154686120</v>
      </c>
      <c r="C27" s="72">
        <f t="shared" ref="C27:L27" si="4">+C14+C20+C25</f>
        <v>7069370</v>
      </c>
      <c r="D27" s="72">
        <f t="shared" si="4"/>
        <v>5224610</v>
      </c>
      <c r="E27" s="72">
        <f t="shared" si="4"/>
        <v>14233040</v>
      </c>
      <c r="F27" s="72">
        <f t="shared" si="4"/>
        <v>20683570</v>
      </c>
      <c r="G27" s="72">
        <f t="shared" si="4"/>
        <v>22914200</v>
      </c>
      <c r="H27" s="72">
        <f t="shared" si="4"/>
        <v>6192430</v>
      </c>
      <c r="I27" s="72">
        <f t="shared" si="4"/>
        <v>12217610</v>
      </c>
      <c r="J27" s="72">
        <f t="shared" si="4"/>
        <v>41798380</v>
      </c>
      <c r="K27" s="72">
        <f t="shared" si="4"/>
        <v>15198360</v>
      </c>
      <c r="L27" s="72">
        <f t="shared" si="4"/>
        <v>9154550</v>
      </c>
    </row>
    <row r="28" spans="1:12">
      <c r="C28" s="385"/>
      <c r="D28" s="385"/>
      <c r="E28" s="385"/>
      <c r="F28" s="385"/>
      <c r="G28" s="385"/>
      <c r="H28" s="385"/>
      <c r="I28" s="385"/>
      <c r="J28" s="385"/>
      <c r="K28" s="385"/>
      <c r="L28" s="385"/>
    </row>
  </sheetData>
  <mergeCells count="3">
    <mergeCell ref="A8:L8"/>
    <mergeCell ref="A9:L9"/>
    <mergeCell ref="A10:K10"/>
  </mergeCells>
  <printOptions horizontalCentered="1"/>
  <pageMargins left="0" right="0" top="0.74803149606299213" bottom="0.74803149606299213" header="0.31496062992125984" footer="0.31496062992125984"/>
  <pageSetup paperSize="9"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22</vt:i4>
      </vt:variant>
    </vt:vector>
  </HeadingPairs>
  <TitlesOfParts>
    <vt:vector size="58" baseType="lpstr">
      <vt:lpstr>resgral</vt:lpstr>
      <vt:lpstr>necfinan</vt:lpstr>
      <vt:lpstr>recursos</vt:lpstr>
      <vt:lpstr>conjurisd</vt:lpstr>
      <vt:lpstr>erogcons</vt:lpstr>
      <vt:lpstr>INT</vt:lpstr>
      <vt:lpstr>INT A</vt:lpstr>
      <vt:lpstr>INT B</vt:lpstr>
      <vt:lpstr>GOB</vt:lpstr>
      <vt:lpstr>GOB A</vt:lpstr>
      <vt:lpstr>GOB B</vt:lpstr>
      <vt:lpstr>HAC</vt:lpstr>
      <vt:lpstr>HAC A</vt:lpstr>
      <vt:lpstr>HAC B</vt:lpstr>
      <vt:lpstr>OBRAS</vt:lpstr>
      <vt:lpstr>OBRAS A</vt:lpstr>
      <vt:lpstr>OBRAS B</vt:lpstr>
      <vt:lpstr>OBRAS C</vt:lpstr>
      <vt:lpstr>OBRAS D</vt:lpstr>
      <vt:lpstr>ESPEC A</vt:lpstr>
      <vt:lpstr>ESPEC B</vt:lpstr>
      <vt:lpstr>OJURIS A</vt:lpstr>
      <vt:lpstr>OJURIS B</vt:lpstr>
      <vt:lpstr>FIN_FUNC</vt:lpstr>
      <vt:lpstr>FIN_FUNC A</vt:lpstr>
      <vt:lpstr>anexo A</vt:lpstr>
      <vt:lpstr>comparación</vt:lpstr>
      <vt:lpstr>Anexo B</vt:lpstr>
      <vt:lpstr>plan de obras2015</vt:lpstr>
      <vt:lpstr>supuestos</vt:lpstr>
      <vt:lpstr>indicadores</vt:lpstr>
      <vt:lpstr>proyecciones</vt:lpstr>
      <vt:lpstr>costo tributario</vt:lpstr>
      <vt:lpstr>subsidios</vt:lpstr>
      <vt:lpstr>pparti</vt:lpstr>
      <vt:lpstr>resubpart</vt:lpstr>
      <vt:lpstr>'anexo A'!Área_de_impresión</vt:lpstr>
      <vt:lpstr>'Anexo B'!Área_de_impresión</vt:lpstr>
      <vt:lpstr>comparación!Área_de_impresión</vt:lpstr>
      <vt:lpstr>conjurisd!Área_de_impresión</vt:lpstr>
      <vt:lpstr>indicadores!Área_de_impresión</vt:lpstr>
      <vt:lpstr>'OJURIS A'!Área_de_impresión</vt:lpstr>
      <vt:lpstr>'plan de obras2015'!Área_de_impresión</vt:lpstr>
      <vt:lpstr>proyecciones!Área_de_impresión</vt:lpstr>
      <vt:lpstr>resgral!Área_de_impresión</vt:lpstr>
      <vt:lpstr>'ESPEC B'!Títulos_a_imprimir</vt:lpstr>
      <vt:lpstr>FIN_FUNC!Títulos_a_imprimir</vt:lpstr>
      <vt:lpstr>'FIN_FUNC A'!Títulos_a_imprimir</vt:lpstr>
      <vt:lpstr>'GOB B'!Títulos_a_imprimir</vt:lpstr>
      <vt:lpstr>'HAC B'!Títulos_a_imprimir</vt:lpstr>
      <vt:lpstr>'INT B'!Títulos_a_imprimir</vt:lpstr>
      <vt:lpstr>'OBRAS B'!Títulos_a_imprimir</vt:lpstr>
      <vt:lpstr>'OBRAS C'!Títulos_a_imprimir</vt:lpstr>
      <vt:lpstr>'OBRAS D'!Títulos_a_imprimir</vt:lpstr>
      <vt:lpstr>'OJURIS B'!Títulos_a_imprimir</vt:lpstr>
      <vt:lpstr>'plan de obras2015'!Títulos_a_imprimir</vt:lpstr>
      <vt:lpstr>recursos!Títulos_a_imprimir</vt:lpstr>
      <vt:lpstr>resubpart!Títulos_a_imprimir</vt:lpstr>
    </vt:vector>
  </TitlesOfParts>
  <Company>Municipalidad de Godoy Cruz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msabella</dc:creator>
  <cp:lastModifiedBy>pmartinez</cp:lastModifiedBy>
  <cp:lastPrinted>2014-12-02T16:10:48Z</cp:lastPrinted>
  <dcterms:created xsi:type="dcterms:W3CDTF">2012-08-08T15:55:09Z</dcterms:created>
  <dcterms:modified xsi:type="dcterms:W3CDTF">2014-12-02T16:36:49Z</dcterms:modified>
</cp:coreProperties>
</file>