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715" tabRatio="988" firstSheet="21" activeTab="30"/>
  </bookViews>
  <sheets>
    <sheet name="resumen" sheetId="1" r:id="rId1"/>
    <sheet name="financ." sheetId="2" r:id="rId2"/>
    <sheet name="recursos" sheetId="3" r:id="rId3"/>
    <sheet name="res jusd." sheetId="4" r:id="rId4"/>
    <sheet name="res gral" sheetId="5" r:id="rId5"/>
    <sheet name="intend" sheetId="6" r:id="rId6"/>
    <sheet name="Int juris" sheetId="7" r:id="rId7"/>
    <sheet name="ANEXO1" sheetId="8" r:id="rId8"/>
    <sheet name="gob" sheetId="9" r:id="rId9"/>
    <sheet name="Gob juris" sheetId="10" r:id="rId10"/>
    <sheet name="ANEXO2" sheetId="11" r:id="rId11"/>
    <sheet name="hac" sheetId="12" r:id="rId12"/>
    <sheet name="hac juris" sheetId="13" r:id="rId13"/>
    <sheet name="ANEXO4" sheetId="14" r:id="rId14"/>
    <sheet name="obras" sheetId="15" r:id="rId15"/>
    <sheet name="obras juris" sheetId="16" r:id="rId16"/>
    <sheet name="ANEXO5" sheetId="17" r:id="rId17"/>
    <sheet name="serv.espec." sheetId="18" r:id="rId18"/>
    <sheet name="SER.ESPEC." sheetId="19" r:id="rId19"/>
    <sheet name="ANEXO3" sheetId="20" r:id="rId20"/>
    <sheet name="juzg" sheetId="21" r:id="rId21"/>
    <sheet name="ANEXO7" sheetId="22" r:id="rId22"/>
    <sheet name="hcd" sheetId="23" r:id="rId23"/>
    <sheet name="ANEXO6" sheetId="24" r:id="rId24"/>
    <sheet name="FINAL. FUNCION" sheetId="25" r:id="rId25"/>
    <sheet name="FF-PARTIDAS" sheetId="26" r:id="rId26"/>
    <sheet name="COMPARACION" sheetId="27" r:id="rId27"/>
    <sheet name="anexo A" sheetId="28" r:id="rId28"/>
    <sheet name="indicadores" sheetId="29" r:id="rId29"/>
    <sheet name="res tbjos pcos" sheetId="30" r:id="rId30"/>
    <sheet name="plan obras por area" sheetId="31" r:id="rId31"/>
    <sheet name="proyec" sheetId="32" r:id="rId32"/>
    <sheet name="supuestos" sheetId="33" r:id="rId33"/>
    <sheet name="costo trib" sheetId="34" r:id="rId34"/>
    <sheet name="subsidios" sheetId="35" r:id="rId35"/>
    <sheet name="ppto partic" sheetId="36" r:id="rId36"/>
    <sheet name="ppto por cuenta" sheetId="37" r:id="rId37"/>
  </sheets>
  <externalReferences>
    <externalReference r:id="rId40"/>
  </externalReferences>
  <definedNames>
    <definedName name="_xlnm.Print_Area" localSheetId="7">'ANEXO1'!$A$1:$H$117</definedName>
    <definedName name="_xlnm.Print_Area" localSheetId="10">'ANEXO2'!$A$1:$N$1027</definedName>
    <definedName name="_xlnm.Print_Area" localSheetId="16">'ANEXO5'!$A$1:$L$804</definedName>
    <definedName name="_xlnm.Print_Area" localSheetId="23">'ANEXO6'!$A$1:$G$84</definedName>
    <definedName name="_xlnm.Print_Area" localSheetId="11">'hac'!$A$1:$I$25</definedName>
    <definedName name="_xlnm.Print_Area" localSheetId="14">'obras'!$A$1:$I$25</definedName>
    <definedName name="_xlnm.Print_Area" localSheetId="35">'ppto partic'!$A$1:$C$301</definedName>
    <definedName name="_xlnm.Print_Area" localSheetId="31">'proyec'!$A$1:$E$65</definedName>
  </definedNames>
  <calcPr fullCalcOnLoad="1"/>
</workbook>
</file>

<file path=xl/comments11.xml><?xml version="1.0" encoding="utf-8"?>
<comments xmlns="http://schemas.openxmlformats.org/spreadsheetml/2006/main">
  <authors>
    <author>Direcci?n de Contadur?a Gral</author>
  </authors>
  <commentList>
    <comment ref="C986" authorId="0">
      <text>
        <r>
          <rPr>
            <sz val="8"/>
            <rFont val="Tahoma"/>
            <family val="0"/>
          </rPr>
          <t xml:space="preserve">Subdirección+dpto.
</t>
        </r>
      </text>
    </comment>
  </commentList>
</comments>
</file>

<file path=xl/comments14.xml><?xml version="1.0" encoding="utf-8"?>
<comments xmlns="http://schemas.openxmlformats.org/spreadsheetml/2006/main">
  <authors>
    <author>msabella</author>
  </authors>
  <commentList>
    <comment ref="C6" authorId="0">
      <text>
        <r>
          <rPr>
            <sz val="8"/>
            <rFont val="Tahoma"/>
            <family val="0"/>
          </rPr>
          <t xml:space="preserve">INCLUYE AUDITORIA
</t>
        </r>
      </text>
    </comment>
  </commentList>
</comments>
</file>

<file path=xl/sharedStrings.xml><?xml version="1.0" encoding="utf-8"?>
<sst xmlns="http://schemas.openxmlformats.org/spreadsheetml/2006/main" count="6985" uniqueCount="1171">
  <si>
    <t>Obras Cordón, Cunetas y Banquinas - Obras Urban y Remod.</t>
  </si>
  <si>
    <t>en Villa del Parque</t>
  </si>
  <si>
    <t>Obras CCB - Urbanas y Remodelación (Ejercicio Corriente)</t>
  </si>
  <si>
    <t>Obras CCB - Urbanas y Remodelación (Ejercicios Anteriores)</t>
  </si>
  <si>
    <t>Contribución de Mejoras Remodelación Centro G.Cruz</t>
  </si>
  <si>
    <t>Fondo Apoyo Desarrollo Productivo</t>
  </si>
  <si>
    <t>Subsecretaría O.Púb. Y Asuntos Municipales</t>
  </si>
  <si>
    <t>Fondo Fiduciario de Obras Públicas</t>
  </si>
  <si>
    <t>Obra Ensanche Carril Sarmiento</t>
  </si>
  <si>
    <t>Derechos de Cementerio(Ejercicios Anteriores)</t>
  </si>
  <si>
    <t>Derechos de Inspección y Habilitación Eléctrica</t>
  </si>
  <si>
    <t>Multas Generales (Ejercicios Anteriores)</t>
  </si>
  <si>
    <t>Revisión Técnica Vehícular</t>
  </si>
  <si>
    <t>IPV Prog.Munc.y  Desarrollo Comunitario</t>
  </si>
  <si>
    <t>Renta Financiera</t>
  </si>
  <si>
    <t>Petrolíferas, Uraniferas, Gasiferas e Hidroeléctricas</t>
  </si>
  <si>
    <t>Participación en Otros Impuestos</t>
  </si>
  <si>
    <t>Participación Municipal Tránsito y Transporte Ley 5800</t>
  </si>
  <si>
    <t>DINAADYF- Proyectos Especiales</t>
  </si>
  <si>
    <t>DINAADYF- Aprim</t>
  </si>
  <si>
    <t>Fondos para Desarrollo Turístico</t>
  </si>
  <si>
    <t>REEMBOLSO DE OBRAS PUBLICAS</t>
  </si>
  <si>
    <t>CLASIFICACION ECONÓMICA Y POR OBJETO</t>
  </si>
  <si>
    <t>3.8.1</t>
  </si>
  <si>
    <t xml:space="preserve">   Otros Ingresos de Jurisdicción Provincial</t>
  </si>
  <si>
    <t xml:space="preserve">   Regalias</t>
  </si>
  <si>
    <t xml:space="preserve">   Otros Ingresos de Jurisdicción Nacional</t>
  </si>
  <si>
    <t xml:space="preserve">   Tasas y Derechos Municipales</t>
  </si>
  <si>
    <t xml:space="preserve">   Ventas Bienes de Uso</t>
  </si>
  <si>
    <t xml:space="preserve">   Reembolsos de Préstamos</t>
  </si>
  <si>
    <t>REGIMEN DE COPARTICIPACION NACIONAL</t>
  </si>
  <si>
    <t xml:space="preserve">   Régimen de Participación Provincial</t>
  </si>
  <si>
    <t xml:space="preserve">   Régimen de Coparticipación Nacional</t>
  </si>
  <si>
    <t>Desarrollo Social y Salud</t>
  </si>
  <si>
    <t>Inspección General y Fiscalización</t>
  </si>
  <si>
    <t>Subdirección de Promoción Económica</t>
  </si>
  <si>
    <t>DIRECCION DE INSPECCIÓN GENERAL Y FISCALIZACION</t>
  </si>
  <si>
    <t>Juris.:</t>
  </si>
  <si>
    <t>Derechos de Inspección Comercio Ind.y Servicios( Ejercicios Corriente)</t>
  </si>
  <si>
    <t>Gobierno Provincial</t>
  </si>
  <si>
    <t xml:space="preserve">          Uso del Crédito de Entidades Financieras</t>
  </si>
  <si>
    <t xml:space="preserve">          Uso del Crédito del Gobierno Provincial</t>
  </si>
  <si>
    <t xml:space="preserve">          Uso del Crédito de Proveed.y Cont.(Deuda Flotante)</t>
  </si>
  <si>
    <t xml:space="preserve">         Aportes No Reintegrables Obras en ejecución</t>
  </si>
  <si>
    <t xml:space="preserve">         Aportes No Reint. Plan Prov. y Nac.de Obras Munic.</t>
  </si>
  <si>
    <t>Amortización de la Deuda Consolidada</t>
  </si>
  <si>
    <t>Amortización de la Deuda Flotante</t>
  </si>
  <si>
    <t>Trabajos Públicos (*)</t>
  </si>
  <si>
    <t xml:space="preserve">(*) Según  Anexo de Plan de Trabajos Públicos </t>
  </si>
  <si>
    <t>U.C.AMB.</t>
  </si>
  <si>
    <t>Incluye Dpto. Construcciones, Electromecánica y Administrativa</t>
  </si>
  <si>
    <t>Incluye Talleres</t>
  </si>
  <si>
    <t>Derecho de Bodegaje (Tránsito)</t>
  </si>
  <si>
    <t>Derecho de Traslados (Tránsito)</t>
  </si>
  <si>
    <t>Derecho de Descargo Multas de Tránsito</t>
  </si>
  <si>
    <t>DIFERENCIA</t>
  </si>
  <si>
    <t xml:space="preserve"> COEFICIENTE PARA REMUNERACION DE LAS AUTORIDADES SUPERIORES</t>
  </si>
  <si>
    <t>INTENDENTE MUNICIPAL *</t>
  </si>
  <si>
    <t>93 %</t>
  </si>
  <si>
    <t>100 %</t>
  </si>
  <si>
    <t>79 %</t>
  </si>
  <si>
    <t>72 %</t>
  </si>
  <si>
    <t>65 %</t>
  </si>
  <si>
    <t>58 %</t>
  </si>
  <si>
    <t>51 %</t>
  </si>
  <si>
    <t>( ** ) El 65 % de la remuneración resultante corresponde a la Asignación de la Clase o Dieta según corresponda</t>
  </si>
  <si>
    <t xml:space="preserve">  y el 35 % restante corresponde a la Comensación Funcional según  Ley N° 5.811</t>
  </si>
  <si>
    <t>JUECES (***)</t>
  </si>
  <si>
    <t xml:space="preserve"> (***) Conforme a la Ordenanza N° 5097/04</t>
  </si>
  <si>
    <r>
      <t xml:space="preserve">95 % </t>
    </r>
    <r>
      <rPr>
        <sz val="9"/>
        <rFont val="Arial"/>
        <family val="2"/>
      </rPr>
      <t>de la Remuneración de los Sec.del D.E.</t>
    </r>
  </si>
  <si>
    <r>
      <t>85 %</t>
    </r>
    <r>
      <rPr>
        <sz val="9"/>
        <rFont val="Arial"/>
        <family val="2"/>
      </rPr>
      <t xml:space="preserve"> de la Remuneración de los Jueces</t>
    </r>
  </si>
  <si>
    <r>
      <t>55 %</t>
    </r>
    <r>
      <rPr>
        <sz val="9"/>
        <rFont val="Arial"/>
        <family val="2"/>
      </rPr>
      <t xml:space="preserve"> de la Remuneración de los Jueces</t>
    </r>
  </si>
  <si>
    <t xml:space="preserve">                                           ANEXO A</t>
  </si>
  <si>
    <t>DIRECCION DE SALUD</t>
  </si>
  <si>
    <t>2.8.1</t>
  </si>
  <si>
    <t>En la Dirección se incluyen los gastos de los departamentos y/o oficinas a cargo</t>
  </si>
  <si>
    <t>Nota: Los gastos de funcionamiento de los Centros Recreativos se encuentran cargados en la Dirección de Deportes</t>
  </si>
  <si>
    <t>Incluye los gastos de funcionamiento de los Departamentos y/o oficinas a cargo de la Dirección</t>
  </si>
  <si>
    <t>DES.SOCIAL</t>
  </si>
  <si>
    <t>281</t>
  </si>
  <si>
    <t>CONT.GRAL.</t>
  </si>
  <si>
    <t>Dirección de Salud</t>
  </si>
  <si>
    <t xml:space="preserve">Desarrollo Social </t>
  </si>
  <si>
    <t>SECRETARIO</t>
  </si>
  <si>
    <t>PROM.ECON.</t>
  </si>
  <si>
    <t>DIRECCIÓN DE INSPECCION GENERAL Y FISCALIZACIÓN</t>
  </si>
  <si>
    <t>DIRECCION DE PROMOCIÓN ECONÓMICA</t>
  </si>
  <si>
    <t>INSP.GRAL</t>
  </si>
  <si>
    <t>DEPORTE</t>
  </si>
  <si>
    <t xml:space="preserve">DIRECCION DE DESARROLLO SOCIAL </t>
  </si>
  <si>
    <t>DES.SOC.</t>
  </si>
  <si>
    <t>ADMINIS.</t>
  </si>
  <si>
    <t>DIRECCIÓN DE ADMINISTRACIÓN</t>
  </si>
  <si>
    <t>INS.GRAL Y FISC.</t>
  </si>
  <si>
    <t>291</t>
  </si>
  <si>
    <t>2.9.1</t>
  </si>
  <si>
    <t>DIRECCIÓN DE TESORERÍA GENERAL</t>
  </si>
  <si>
    <t>DIRECCION DE CONTADURÍA GENERAL</t>
  </si>
  <si>
    <t>4.8.1</t>
  </si>
  <si>
    <t xml:space="preserve">DIRECCIÓN DE SERVICIOS PUBLICOS </t>
  </si>
  <si>
    <t>DIRECCIÓN DE PLANIFICACION URBANA</t>
  </si>
  <si>
    <t xml:space="preserve">DIRECCIÓN DE OBRAS MUNICIPALES </t>
  </si>
  <si>
    <t>DIRECCIÓN DE OBRAS PARTICULARES</t>
  </si>
  <si>
    <t>DIRECCION DE OBRAS PARTICULARES</t>
  </si>
  <si>
    <t>481</t>
  </si>
  <si>
    <t>COOR.AMB.</t>
  </si>
  <si>
    <t>27</t>
  </si>
  <si>
    <t xml:space="preserve">Locaciones de Servicios </t>
  </si>
  <si>
    <t xml:space="preserve">Otros Servicios </t>
  </si>
  <si>
    <t xml:space="preserve">   Ayudas puntuales según demandas de vecinos y/o instituciones dedicadas al bien público, al deporte, al desarrollo económico, foto   y carnet padrón de extranjeros etc.</t>
  </si>
  <si>
    <t>VII. DIRECCIÓN DE OBRAS MUNICIPALES</t>
  </si>
  <si>
    <t>II. DESARROLLO SOCIAL (según detalle adjunto)</t>
  </si>
  <si>
    <t>III. SALUD</t>
  </si>
  <si>
    <t xml:space="preserve">   Ayuda social para día del niño y/o ayuda a la comunidad en gral.</t>
  </si>
  <si>
    <t xml:space="preserve">   Ayuda social para finanaciar erogaciones de capital según la demanda de ONG, Entidades </t>
  </si>
  <si>
    <t xml:space="preserve">  Religiosas, Educacionales y Comunitarias</t>
  </si>
  <si>
    <t xml:space="preserve">Bienes de Capital en Gral. </t>
  </si>
  <si>
    <t>Locaciones de Servicios</t>
  </si>
  <si>
    <t xml:space="preserve">27 </t>
  </si>
  <si>
    <t>PAC Servicios</t>
  </si>
  <si>
    <t>22</t>
  </si>
  <si>
    <t>25</t>
  </si>
  <si>
    <t>Honorarios-Fdos Desarrollos Educativo EGB3</t>
  </si>
  <si>
    <t>SERVICIOS PUBLICOS - DPTO. TRANSPORTE</t>
  </si>
  <si>
    <t>446</t>
  </si>
  <si>
    <t>Convenio EPRE -Fondo Compesador de Tarifas</t>
  </si>
  <si>
    <t>TRANSF. DE FONDOS PARA INVERSION OBRA PÚBLICA</t>
  </si>
  <si>
    <t xml:space="preserve">   Transf. Fdos.para Inv. Obra Pública</t>
  </si>
  <si>
    <t>Locaciones de Servicios(*)</t>
  </si>
  <si>
    <t>tasa Baibor (para 180 días)0</t>
  </si>
  <si>
    <t>incremento promedio intreses deuda</t>
  </si>
  <si>
    <t>2008 pres.</t>
  </si>
  <si>
    <t>Resultado primario</t>
  </si>
  <si>
    <t>Resultado corriente</t>
  </si>
  <si>
    <t>Resultado global antes de financiamiento</t>
  </si>
  <si>
    <t xml:space="preserve">         Aportes No Reintegrables varios</t>
  </si>
  <si>
    <t>Total de Erogaciones (ctes + capital + amortizac)</t>
  </si>
  <si>
    <t>Resultado Final</t>
  </si>
  <si>
    <t>( * ) Calculado conforme al artículo 16 de la Ordenanza Presupuesto 2008</t>
  </si>
  <si>
    <t>CONSOLIDADO POR SUBPARTIDA</t>
  </si>
  <si>
    <t>INTEN-</t>
  </si>
  <si>
    <t>DENCIA</t>
  </si>
  <si>
    <t>SEC. DE</t>
  </si>
  <si>
    <t xml:space="preserve">SEC. DE </t>
  </si>
  <si>
    <t>OBRAS</t>
  </si>
  <si>
    <t>DEP. EJEC.</t>
  </si>
  <si>
    <t>H.C.D</t>
  </si>
  <si>
    <t>TRÁNSITO</t>
  </si>
  <si>
    <t>SERV.</t>
  </si>
  <si>
    <t>ESPEC.</t>
  </si>
  <si>
    <t>(*) Educación incluye Programa Municipal de Alfabetización</t>
  </si>
  <si>
    <t>DIRECCION DE DESARROLLO SOCIAL</t>
  </si>
  <si>
    <t>Fondos para Obras Públicas Municipales</t>
  </si>
  <si>
    <t>Año 2007</t>
  </si>
  <si>
    <t>271</t>
  </si>
  <si>
    <t>COMPRAS</t>
  </si>
  <si>
    <t>DIRECCION DE COMPRAS Y SUMINISTROS</t>
  </si>
  <si>
    <t>Incluye las erogaciones  de Almacenes</t>
  </si>
  <si>
    <t>CEMENTERIO</t>
  </si>
  <si>
    <t>443</t>
  </si>
  <si>
    <t>SERVICIOS PUBLICOS - CEMENTERIO</t>
  </si>
  <si>
    <t xml:space="preserve">0RDENANZA N° </t>
  </si>
  <si>
    <t>Indicadores agregados fiscales y financieros.</t>
  </si>
  <si>
    <t>N°</t>
  </si>
  <si>
    <t>Definición del Indicador</t>
  </si>
  <si>
    <t>Observación</t>
  </si>
  <si>
    <t>Numerador</t>
  </si>
  <si>
    <t>Denominador</t>
  </si>
  <si>
    <t xml:space="preserve"> Gasto primario por habitante</t>
  </si>
  <si>
    <t>Gasto Primario: suma de gastos corrientes y de capital, excluidos los pagos por intereses de deuda pública presupuestado</t>
  </si>
  <si>
    <t>Población de Godoy Cruz</t>
  </si>
  <si>
    <t>Gasto en personal respecto del gasto primario</t>
  </si>
  <si>
    <t>Gasto en personal presupuestado</t>
  </si>
  <si>
    <t>RESULTADO DE REUNIONES DEL PRESUPUESTO PARTICIPATIVO AÑO 2007 PARA PRESUPUESTO 2008</t>
  </si>
  <si>
    <t>AÑO PREVISTO DE EJECUCIÓN / OBSERVACIÓN</t>
  </si>
  <si>
    <t>MONTO</t>
  </si>
  <si>
    <t>Acondicionar un terreno en el piedemonte para llevar los vehículos secuestrados</t>
  </si>
  <si>
    <t>No es factible. Se implantará vegetación autóctona recuperación zona</t>
  </si>
  <si>
    <t>Organizado sin costo</t>
  </si>
  <si>
    <t xml:space="preserve">Realizar banquina , cordón y cuneta en Calle Jorge Newbery </t>
  </si>
  <si>
    <t>Previsto en Presupuesto 2008</t>
  </si>
  <si>
    <t>Poda de arboles de gran porte Calles Vaquié -Garibaldi</t>
  </si>
  <si>
    <t>Previsto en presupuesto 2008</t>
  </si>
  <si>
    <r>
      <t xml:space="preserve">Erradicación de árboles de la especie olmos bola </t>
    </r>
    <r>
      <rPr>
        <b/>
        <sz val="12"/>
        <rFont val="Arial"/>
        <family val="2"/>
      </rPr>
      <t>(1)</t>
    </r>
  </si>
  <si>
    <t>Curado de plátanos</t>
  </si>
  <si>
    <t>Reforestación del espacio verde Luis Menotti Pescarmona</t>
  </si>
  <si>
    <t>Aumentar la dotación de agentes de tránsito</t>
  </si>
  <si>
    <t>En estudio de factibilidad de ingreso de nuevo personal</t>
  </si>
  <si>
    <t>Controlar entrada y salida de camiones a la fábrica.Solicitud de un agente de tránsito.</t>
  </si>
  <si>
    <t>En ejecución 2007-2008</t>
  </si>
  <si>
    <t xml:space="preserve"> Organizado sin costo</t>
  </si>
  <si>
    <t>Obras Particulares</t>
  </si>
  <si>
    <t>Inspección de veredas en el Barrio Flor de Cuyo</t>
  </si>
  <si>
    <t>Inspección de veredas en el Barrio Parque</t>
  </si>
  <si>
    <t>Realización de tribunas para la cancha de fútbol en la Union Vecinal Barrio Parque</t>
  </si>
  <si>
    <t>Realizar banquina, cordón y cuneta en el Barrio Flor de Cuyo</t>
  </si>
  <si>
    <r>
      <t xml:space="preserve">Erradicación y poda de árboles del Barrio Flor de Cuyo </t>
    </r>
    <r>
      <rPr>
        <b/>
        <sz val="12"/>
        <rFont val="Arial"/>
        <family val="2"/>
      </rPr>
      <t>(2)</t>
    </r>
  </si>
  <si>
    <t>DISTRITO VILLA HIPÓDROMO</t>
  </si>
  <si>
    <t>Relaciones con la Comunidad</t>
  </si>
  <si>
    <t>Mayor control en Plaza Parque Sgto. Cabral (personas se juntan a drogarse y realizar actos obsenos).</t>
  </si>
  <si>
    <t>En ejecución 2007-2008. Soliictado al Ministerio de Seguridad Pcia.</t>
  </si>
  <si>
    <t>Realizar el cierre del tinglado del patio de la Unión Vecinal City Father¨s</t>
  </si>
  <si>
    <t>Anular las acequias del Barrio Los Barrancos II</t>
  </si>
  <si>
    <t>Se estudia refuncionalización de acequias. No anularlas.</t>
  </si>
  <si>
    <t>Realizar banquina, cordón y cuneta en Villa Ortiz.</t>
  </si>
  <si>
    <t>Canalización de acequias de Calle Pellegrini</t>
  </si>
  <si>
    <t>Gestión Ambiental</t>
  </si>
  <si>
    <t>Enviar inspectores para investigar a los vecinos que tiran basura en la Plaza Parque Sgto. Cabral</t>
  </si>
  <si>
    <t>Colocar refugio peatonal en parada de Calle Rivadavia, antes de llegar a Calle Beltrán.</t>
  </si>
  <si>
    <t>Desarrollo Social</t>
  </si>
  <si>
    <t>Desarrollar programas de actividades educativas y talleres de trabajo en la Plaza Parque Sgto. Cabral,</t>
  </si>
  <si>
    <t xml:space="preserve">   que posibiliten la contención y participación de alumnos de la Escuela Esperanza</t>
  </si>
  <si>
    <t>Controlar estacionamiento en la vereda de Calle Paso De Los Andes, entre Calle Pellegrini y Laprida.</t>
  </si>
  <si>
    <t>Deportes</t>
  </si>
  <si>
    <t>Enviar profesores de educación física a la Unión Vecinal City Father¨s</t>
  </si>
  <si>
    <t>No es factible. No se incorporarán nuevos empleados</t>
  </si>
  <si>
    <t>Controlar y regular cartelería sobre calle Paso de los Andes (problemas de ocupación en la vía pública)</t>
  </si>
  <si>
    <t>Solicitud de intervenir la Unión Vecinal Villa Teresa II</t>
  </si>
  <si>
    <t>Colocar refugio peatonal y lozas en la parada de Calle Alem y Aristóbulo del Valle.</t>
  </si>
  <si>
    <t>Ensanchar el Carril sarmiento</t>
  </si>
  <si>
    <t>Controlar tirado de basura en espacios verdes ubicados en el lateral Acceso Sur (Bº La Gloria)</t>
  </si>
  <si>
    <t>En ejecución 2007-2008. Prever programa de educación</t>
  </si>
  <si>
    <t>Remodelación Plaza del Barrio 13 de Julio</t>
  </si>
  <si>
    <t>Evaluar Campaña gratuita de esterilización de animales sueltos ( Benegas Sur)</t>
  </si>
  <si>
    <t xml:space="preserve">       ORDENANZA Nº 5531/07</t>
  </si>
  <si>
    <t xml:space="preserve">                      ORDENANZAN Nº5531/07</t>
  </si>
  <si>
    <t>No es factible. Se realiza campaña de tenencia responsable</t>
  </si>
  <si>
    <t>Mayor control municipal para evitar que se generen basurales en el piedemonte .</t>
  </si>
  <si>
    <t>Realizar eventos de contención para jóvenes, para adultos mayores en Plaza Malvinas Argentinas</t>
  </si>
  <si>
    <t>En ejecución 2007-2008 Coordinar con U. Vecinal Bº Suarez</t>
  </si>
  <si>
    <t>Mejorar las instalaciones de la Posta Sanitaria ubicada en el Barrio Sol y Sierra.</t>
  </si>
  <si>
    <t>En ejecución 2007-2008 coordinado con la Provincia</t>
  </si>
  <si>
    <t>Realizar asfalto en Barrio Barrancos II</t>
  </si>
  <si>
    <t>Realizar banquina, cordón y cuneta en Barrio Barrancos I</t>
  </si>
  <si>
    <t>Realizar banquina, cordón, cuneta y hormigonado o asfalto en Barrio Los Cerros</t>
  </si>
  <si>
    <t>Hacer alcantarilla cruce Calle Soler y Salta y boca de tormenta cruce de Calle Soler y Lavalle</t>
  </si>
  <si>
    <t>Construcción de puente de comunicación sobre Canal Civit sobre Calle Dique Los Nihuiles.</t>
  </si>
  <si>
    <t xml:space="preserve">Previsto en presupuesto 2008 </t>
  </si>
  <si>
    <t>Realizar banquina, cordón y cuneta en Calle Alpatacal y todo el Barrio Tosi.</t>
  </si>
  <si>
    <t>Realizar asfalto calle Pte. Illia costado este, desde Tiburcio Benegas hasta Salvador Civit.</t>
  </si>
  <si>
    <t>Realizar el rebaje de calles y construcción de acequias reglamentarias en el Barrio Udilén.</t>
  </si>
  <si>
    <t>En estudio de niveles por Planificación Urbana</t>
  </si>
  <si>
    <t>Colocar refugio peatonal en parada de micros ubicada en Calle Salta y Luzuriaga.</t>
  </si>
  <si>
    <t>Realizar banquina, cordón y cuneta en Calle Cubillos (Barrio Metalúrgico)</t>
  </si>
  <si>
    <t>Mejorar condiciones de Calle Alvarez Thomas y Ricardo Rojas.</t>
  </si>
  <si>
    <t>Realizar slurry en Calle Amperes y Ricardo Rojas.</t>
  </si>
  <si>
    <r>
      <t xml:space="preserve">Realizar veredas sobre Calle Vergara, detrás del cementerio. </t>
    </r>
    <r>
      <rPr>
        <b/>
        <sz val="12"/>
        <rFont val="Arial"/>
        <family val="2"/>
      </rPr>
      <t>(3)</t>
    </r>
  </si>
  <si>
    <t>Quita de profundidad en badenes ubicados en Barrio Batalla del Pilar.</t>
  </si>
  <si>
    <t>Realizar banquina, cordón y cuneta en el Barrio  La Perla.</t>
  </si>
  <si>
    <t>Realizar un polideportivo en terreno donde se encontraba asentamiento Las Tablitas.</t>
  </si>
  <si>
    <t>No es factible. Construcción del Parque con viviendas para clase media.</t>
  </si>
  <si>
    <t>Realizar calzada que falta en Calle Benavente.</t>
  </si>
  <si>
    <t>En proceso de autorización de expropiación</t>
  </si>
  <si>
    <t>Ensanchar el Carril Sarmiento.</t>
  </si>
  <si>
    <t>Realizar expropiaciones parciales en el Carril Sarmiento.</t>
  </si>
  <si>
    <t>Ensanche de veredas Carril Sarmiento</t>
  </si>
  <si>
    <t xml:space="preserve">No es factible. Se realiza emplazamiento a vecinos. </t>
  </si>
  <si>
    <t>Incluido arriba</t>
  </si>
  <si>
    <t>Construcción de un puente que una Barrio Film Andes con Carril Cervantes.</t>
  </si>
  <si>
    <t>En estudio de impacto ambiental y costo-beneficio</t>
  </si>
  <si>
    <t xml:space="preserve">Analizar realizar una rotonda en el Carril Cervantes y Calle Progreso para mejorar y ordenar tránsito </t>
  </si>
  <si>
    <t>En proyecto en conjunto con Municipalidad de Guaymallén</t>
  </si>
  <si>
    <t>Erradicar 3 árboles ubicados en Calle Vélez Sarfield al 1063-1045</t>
  </si>
  <si>
    <t>Previsto en presupuesto 2008. Necesita inicio de expte. Por vecinos</t>
  </si>
  <si>
    <t>Señalización vial en Calles Madrid y Lago Hermoso ( B° Obras Sanitarias)</t>
  </si>
  <si>
    <t>Realizar banquina, cordón y cuneta en el Barrio Sardi.</t>
  </si>
  <si>
    <t>Realizar banquina,cordón y cuneta en el perímetro de la Escuela Aconcagua.(Barrio Obras Sanitarias)</t>
  </si>
  <si>
    <t>Mejorar infraestructura y hacer la red de gas en la entidad Facundo Quiroga y Dispensario L. Pasteur</t>
  </si>
  <si>
    <t>En estudio de Obras Municipales. Es un subsidio</t>
  </si>
  <si>
    <t>Colocar semáforo en la esquina de Calle Madrid y Lago Hermoso</t>
  </si>
  <si>
    <t>No es factible. Se colocará cartelería vial Presupuesto 2007</t>
  </si>
  <si>
    <t>Analizar posibilidad de utilizar terreno ubicado del lado oeste de la escuela Cerro Aconcagua,</t>
  </si>
  <si>
    <t xml:space="preserve">   para la construcción de una Unión Vecinal correspondiente al Barrio Obras Sanitarias</t>
  </si>
  <si>
    <t>Son terrenos municipales - Gestionar ordenanza de comodato</t>
  </si>
  <si>
    <t>Enviar inspectores para verificar baldíos en el Barrio Obras Sanitarias</t>
  </si>
  <si>
    <t>Verificar titularidad de terreno identificado como Manzana 46 del Barrio La Estanzuela.( Se están</t>
  </si>
  <si>
    <t>Son terrenos particulares. La Municipalidad no puede intervenir.</t>
  </si>
  <si>
    <t xml:space="preserve">   vendiendo lotes fraccionados en forma particular)</t>
  </si>
  <si>
    <t>Observaciones:</t>
  </si>
  <si>
    <r>
      <t>(1)</t>
    </r>
    <r>
      <rPr>
        <sz val="12"/>
        <rFont val="Arial"/>
        <family val="2"/>
      </rPr>
      <t xml:space="preserve"> Poda progresiva de árboles de la especie olmos bola. Durante el transcurso del año se efectuará la poda de los 5 árboles más comprometidos</t>
    </r>
  </si>
  <si>
    <r>
      <t xml:space="preserve">(2) </t>
    </r>
    <r>
      <rPr>
        <sz val="12"/>
        <rFont val="Arial"/>
        <family val="2"/>
      </rPr>
      <t>Poda progresiva de árboles. Durante el transcurso del año se efectuará la poda de los 5 árboles más comprometidos</t>
    </r>
  </si>
  <si>
    <r>
      <t>(3)</t>
    </r>
    <r>
      <rPr>
        <sz val="12"/>
        <rFont val="Arial"/>
        <family val="2"/>
      </rPr>
      <t xml:space="preserve"> Incluye Remodelación pared cementerio</t>
    </r>
  </si>
  <si>
    <t>Sistemas</t>
  </si>
  <si>
    <t>Poner en el interactivo de Internet el seguimiento de las O.C.G.</t>
  </si>
  <si>
    <t>En ejecución 2007</t>
  </si>
  <si>
    <t>Puesta en funcionamiento del taller de informática para adultos mayores en la Unión Vecinal Barrio Parque</t>
  </si>
  <si>
    <t>Se preveerá para presupuesto 2009</t>
  </si>
  <si>
    <t>Mayor control de tránsito en calle Humahuaca del Barrio Flor de Cuyo</t>
  </si>
  <si>
    <t>Solucionar regadío por acequias en Villa Hipódromo, ya que por las mismas no pasa agua.</t>
  </si>
  <si>
    <t>Se está coordinando con Irrigación una solución</t>
  </si>
  <si>
    <t>Regular los tiempos del semáforo ubicado en Calle Carola Lorenzini y Av. San Martín, ya que los mismos son muy cortos</t>
  </si>
  <si>
    <t>Regular los tiempos del semáforo ubicado en Calle Armani y Paso de Los Andes, ya que los mismos son muy cortos</t>
  </si>
  <si>
    <t>Canalización de Calle Aristóbulo del Valle.</t>
  </si>
  <si>
    <t>Barrio Covimet, manzana B: Solicitud de luminaria en espacios privados.</t>
  </si>
  <si>
    <t>No es factible. El Municipio puede asesorar para su realización</t>
  </si>
  <si>
    <t>Evaluar cambio de límites del Distrito Las Tortugas (Calle Carril Cervantes, Carril Sarmiento,Acceso Sur y Aristóbulo del Valle) a Distrito Benegas</t>
  </si>
  <si>
    <t>No es recomendable.</t>
  </si>
  <si>
    <t>Pavimentar Calle lateral Acceso Sur.</t>
  </si>
  <si>
    <t>Solicitado a Vialidad Nacional</t>
  </si>
  <si>
    <t>Colocar semáforo en salida de Calle Alberdi y Carril Sarmiento.</t>
  </si>
  <si>
    <t>No es factible por objeción de Vialidad Nacional</t>
  </si>
  <si>
    <t>OSM Y EPAS ( Mediación comunitaria)</t>
  </si>
  <si>
    <t>A solicitar a la empresa OSM una solución por mediación</t>
  </si>
  <si>
    <t>Gestionar ante el I.PV. la construcción de un colector para la defensa aluvional en Calle Coronado (Barrio Los Cerros,Barrancos I y Barrancos II)</t>
  </si>
  <si>
    <t>Es factible. Se estudiará el proyecto para preveerlo en 2009</t>
  </si>
  <si>
    <t>Solucionar problema de agua servida que circula en forma permanente por acequias de Calle O¨Brien (Barrio Los Cerros)</t>
  </si>
  <si>
    <t>Hay que terminar urbanización. A preveer en presupuesto 2009</t>
  </si>
  <si>
    <t>Salud</t>
  </si>
  <si>
    <t>Asignar médico que cumpla funciones luego de las 16:00 hs (guardia) en la posta sanitaria ubicada en el Barrio Sol y Sierra.</t>
  </si>
  <si>
    <t xml:space="preserve"> A solicitar al Ministerio de Salud</t>
  </si>
  <si>
    <t>Remodelar, parquizar o mejorar los alrededores del Canal del Oeste, ensanchar Calle Montes de Oca.</t>
  </si>
  <si>
    <t>En estudio. A preveer en presupuesto 2009</t>
  </si>
  <si>
    <t>Colocar semáforo en Calle Montes de Oca y Río Juramento.</t>
  </si>
  <si>
    <t>Realizar rejas sobre el canal a la altura de la Escuela Banderas Argentinas.</t>
  </si>
  <si>
    <t xml:space="preserve">Solicitar autorización a Irrigación </t>
  </si>
  <si>
    <t>Canalización Canal Civit.</t>
  </si>
  <si>
    <t>En ejecución por Irrigación durante 2007</t>
  </si>
  <si>
    <t>Solucionar problema de cunetas en Calle Montes de Oca ya que las mismas no tienen el desnivel correspondiente.</t>
  </si>
  <si>
    <t>A preveer en presupuesto 2009</t>
  </si>
  <si>
    <t>Realizar obras complementarias para un playón  deportivo del Barrio Gráfico.</t>
  </si>
  <si>
    <t>Realizar salón de usos múltiples en el Polideportivo del Barrio La Estanzuela.</t>
  </si>
  <si>
    <t>Son terrenos del IPV - Unión vecinal tramitar comodato</t>
  </si>
  <si>
    <t>Faltan bocas de desagüe desde el Supermercado Vea hacia el norte.</t>
  </si>
  <si>
    <t>A prever en presupuesto 2009</t>
  </si>
  <si>
    <t>Quita de profundidad en badenes ubicados en Calle Alsina del Barrio Batalla del Pilar</t>
  </si>
  <si>
    <t>Colocar Centro de Salud en el Barrio La Perla.</t>
  </si>
  <si>
    <t>No es factible.  Se solicitará al Centro de Salud Provincial</t>
  </si>
  <si>
    <t>Nº27 que amplíe sus servicios</t>
  </si>
  <si>
    <t>Canalización Carril Sarmiento.</t>
  </si>
  <si>
    <t>Solicitado a Dirección Provincial de Hidráulica</t>
  </si>
  <si>
    <t>Ensanchar el Carril Cervantes.</t>
  </si>
  <si>
    <t>Previsto en presupuesto 2009</t>
  </si>
  <si>
    <t>Cierre del pasaje público que une el Barrio 4to Plan Agua y Energía con el Carril Sarmiento.</t>
  </si>
  <si>
    <t>En inicio de proceso. A prever en presupuesto 2009</t>
  </si>
  <si>
    <t>Oredenar el tránsito en bajada del Accesi Sur y Sarmiento.</t>
  </si>
  <si>
    <t>Solicitado al MAO y SP de la provincia y a Vialidad</t>
  </si>
  <si>
    <t>Poner en la página web Formulario de elaboración de proyectos.</t>
  </si>
  <si>
    <t>Solicitud de refuncionalizar la comisaría 40 y formar una Coopol</t>
  </si>
  <si>
    <t>Solicitado al Ministerio de Justicia y Seguridad</t>
  </si>
  <si>
    <t>Terminar banquinas en la Ruta Panamericana.</t>
  </si>
  <si>
    <t>Reveer localización de cartel publicitario ubicado en el espacio verde de la rotonda de la Ruta Panamericana.</t>
  </si>
  <si>
    <t>Reveer localización de cartel publicitario ubicado en Calle Pedro Benegas y Plazoleta Antonio Tomba, ya que el mismo dificulta la visual para el tránsito.</t>
  </si>
  <si>
    <t>Colocar semáforo en la esquina de Calle Pedro Benegas y Ruta Panamericana.</t>
  </si>
  <si>
    <t>Buscar un espacio para hacer un salón de usos múltiples en el Barrio La Estanzuela</t>
  </si>
  <si>
    <t>Son terrenos del IPV - Unión vecinal solicitar comodato</t>
  </si>
  <si>
    <t>Falta de agua por acequias desde Calle Chile  hasta Calle Salvador Arias y desde Calle Boulogne Sur Mer hasta Calle Paso De Los Andes</t>
  </si>
  <si>
    <r>
      <t>Refuncionalización del espacio verde Bogotá ( B° 3</t>
    </r>
    <r>
      <rPr>
        <vertAlign val="superscript"/>
        <sz val="12"/>
        <rFont val="Arial"/>
        <family val="2"/>
      </rPr>
      <t xml:space="preserve">er </t>
    </r>
    <r>
      <rPr>
        <sz val="12"/>
        <rFont val="Arial"/>
        <family val="2"/>
      </rPr>
      <t>Plan Agua y Energía)</t>
    </r>
  </si>
  <si>
    <r>
      <t>Bajar luminaria en Calles Córdoba, Grouusac y Araujo.</t>
    </r>
    <r>
      <rPr>
        <b/>
        <sz val="12"/>
        <rFont val="Arial"/>
        <family val="2"/>
      </rPr>
      <t>(4)</t>
    </r>
  </si>
  <si>
    <t>Bº SARDI</t>
  </si>
  <si>
    <t xml:space="preserve">Calles Perito Moreno; Colón y calles varias </t>
  </si>
  <si>
    <t xml:space="preserve"> Participación del gasto en inversión real directa respecto del gasto primario</t>
  </si>
  <si>
    <t>Gasto en inversión real directa (bienes de capital, preexistentes y trabajos públicos) presupuestado</t>
  </si>
  <si>
    <t xml:space="preserve"> Ingresos tributarios presupuestados por habitante</t>
  </si>
  <si>
    <t>Ingresos de jurisdicción municipal (por tasas y derechos) presupuestados</t>
  </si>
  <si>
    <t xml:space="preserve"> Ingresos tributarios municipales respecto a Ingresos corrientes totales</t>
  </si>
  <si>
    <t>Ingresos corrientes presupuestados</t>
  </si>
  <si>
    <t xml:space="preserve"> Indicador Solvencia: gastos corrientes respecto a los ingresos corrientes</t>
  </si>
  <si>
    <t>Gastos corrientes presupuestados</t>
  </si>
  <si>
    <t>Gasto en personal respecto a recursos corrientes</t>
  </si>
  <si>
    <t>Servicios de deuda (amort. + interes) respecto de los ingresos corrientes</t>
  </si>
  <si>
    <t>Servicios de la deuda consolidada: amortizaciones + intereses presupuestados</t>
  </si>
  <si>
    <t>Gasto Total presupuestado</t>
  </si>
  <si>
    <t>Indicador 2007</t>
  </si>
  <si>
    <t>ORDENANZA Nº 5531/07</t>
  </si>
  <si>
    <t xml:space="preserve">                                                                                                                ORDENANZA Nº 5531/07</t>
  </si>
  <si>
    <t xml:space="preserve">                                                  ORDENANZA Nº 5531/07</t>
  </si>
  <si>
    <t xml:space="preserve">                                                   ORDENANZA Nº 5531/07</t>
  </si>
  <si>
    <r>
      <t xml:space="preserve">                                                                           </t>
    </r>
    <r>
      <rPr>
        <b/>
        <sz val="8"/>
        <rFont val="Arial"/>
        <family val="2"/>
      </rPr>
      <t>ORDENANZA Nº 5531/07</t>
    </r>
  </si>
  <si>
    <t xml:space="preserve">                                                                      ORDENANZA Nº 5531/07</t>
  </si>
  <si>
    <t xml:space="preserve">              ORDENANZA Nº 5531/07</t>
  </si>
  <si>
    <t xml:space="preserve">                        ORDENANZA Nº 5531/07</t>
  </si>
  <si>
    <t xml:space="preserve">                                                         ORDENANZA Nº 5531/07</t>
  </si>
  <si>
    <t xml:space="preserve">     ORDENANZA Nº 5531/07</t>
  </si>
  <si>
    <t xml:space="preserve">      ORDENANZA Nº 5531/07</t>
  </si>
  <si>
    <t xml:space="preserve"> </t>
  </si>
  <si>
    <t xml:space="preserve">    ORDENANZA Nº 5531/07</t>
  </si>
  <si>
    <t>IMPREN.</t>
  </si>
  <si>
    <t>estimado en presupuesto 2007</t>
  </si>
  <si>
    <t>Población s / DEIE - Gasto Primario estimado en presupuesto 2007</t>
  </si>
  <si>
    <t>recursos corrientes de origen municipal por tasas y derechos estimado en presupuesto 2007 - Población s/ DEIE</t>
  </si>
  <si>
    <t>independecia tributaria estimada en presupuesto 2007</t>
  </si>
  <si>
    <t>Variables necesarias para el cálculo estimadas en el Presupuesto 2007</t>
  </si>
  <si>
    <t>PRESUPUESTO AÑO 2008</t>
  </si>
  <si>
    <t>PRESUPUESTO 2008</t>
  </si>
  <si>
    <t>Incluye gasto en personal de los Departamentos a su cargo</t>
  </si>
  <si>
    <t>Incluye gasto en Personal de los Dptos a cargo</t>
  </si>
  <si>
    <t>2.7.1</t>
  </si>
  <si>
    <t>Bienes de Capital en Gral.</t>
  </si>
  <si>
    <t>ARCHIVO</t>
  </si>
  <si>
    <t>ADMINIST.</t>
  </si>
  <si>
    <t>NOTIFIC</t>
  </si>
  <si>
    <t>IMPRENTA</t>
  </si>
  <si>
    <t>CAU</t>
  </si>
  <si>
    <t>MAYORD.</t>
  </si>
  <si>
    <t>SUD.REC.HUM.</t>
  </si>
  <si>
    <t>SEG.INT.</t>
  </si>
  <si>
    <t>MANTEN</t>
  </si>
  <si>
    <t>DESPACHO</t>
  </si>
  <si>
    <t>Préstamos</t>
  </si>
  <si>
    <t xml:space="preserve">Reconversión Alumbrado Público </t>
  </si>
  <si>
    <t>Bienes de Capital en General</t>
  </si>
  <si>
    <t>Gastos Vendimia</t>
  </si>
  <si>
    <t>Financiamiento</t>
  </si>
  <si>
    <t>Transferencias Corrientes-Programas Sociales</t>
  </si>
  <si>
    <t>CUADRO RESUMEN DE RECURSOS, FINANCIAMIENTO Y EROGACIONES COMPARADO</t>
  </si>
  <si>
    <t>Transferencias corrientes</t>
  </si>
  <si>
    <t xml:space="preserve"> BIENES DE CAPITAL</t>
  </si>
  <si>
    <t>84%</t>
  </si>
  <si>
    <t>79%</t>
  </si>
  <si>
    <t>65%</t>
  </si>
  <si>
    <t xml:space="preserve">DIRECCIÓN DE HIGIENE URBANA </t>
  </si>
  <si>
    <t>HIGIENE URBANA  - RECOLECCION DE RESIDUOS</t>
  </si>
  <si>
    <t>HIGIENE URBANA  - DPTO. HIGIENE URBANA</t>
  </si>
  <si>
    <t>G. AMBIEN.</t>
  </si>
  <si>
    <t>Población de Godoy Cruz (Fuente: Indec 2004-Programa de Análisis Demográfico )</t>
  </si>
  <si>
    <t>Dirección de Gestión Ambiental</t>
  </si>
  <si>
    <t xml:space="preserve">Dirección de Gestión Ambiental </t>
  </si>
  <si>
    <t>Compras y Suministros</t>
  </si>
  <si>
    <t xml:space="preserve"> DIRECCION DE VIVIENDA</t>
  </si>
  <si>
    <t>DIRECCION DE DEPORTES Y RECREACIÓN</t>
  </si>
  <si>
    <t>DIRECCION DE DEPORTES Y RECREACION</t>
  </si>
  <si>
    <t>SUBDIRECCIÓN DE GESTIÓN AMBIENTAL</t>
  </si>
  <si>
    <t>SUDDIRECCION DE GESTION AMBIENTAL</t>
  </si>
  <si>
    <t>SUBDIRECCION DE GESTION AMBIENTAL</t>
  </si>
  <si>
    <t>MUNICIPALIDAD DE GODOY CRUZ</t>
  </si>
  <si>
    <t>UNIDAD DE GESTIÓN</t>
  </si>
  <si>
    <t>DENOMINACIÓN DEL ÁREA</t>
  </si>
  <si>
    <t>POR ADMINISTRACIÓN</t>
  </si>
  <si>
    <t>POR CONTRATO</t>
  </si>
  <si>
    <t>OBRAS LICITADAS Y A AFECTAR EN EL 2007</t>
  </si>
  <si>
    <t>5.1.02.01.00.00</t>
  </si>
  <si>
    <t>5.1.02.02.00.00</t>
  </si>
  <si>
    <t>PRESUPUESTADO</t>
  </si>
  <si>
    <t>DEPARTAMENTO DE OBRAS CIVILES</t>
  </si>
  <si>
    <t>DEPARTAMENTO DE OBRAS VIALES</t>
  </si>
  <si>
    <t>DEPARTAMENTO DE ELECTRICIDAD</t>
  </si>
  <si>
    <t>TOTALES</t>
  </si>
  <si>
    <t>La presente planilla solamente responde a obras nuevas y / o ampliaciones de obras existentes que incrementen el Patrimonio Municipal.</t>
  </si>
  <si>
    <t>A) Obras ejecutadas con recursos propios.</t>
  </si>
  <si>
    <t>B) Obras ejecutadas con financiación de terceros (entidades financieras, estatales, etc.)</t>
  </si>
  <si>
    <t>Firma del Director</t>
  </si>
  <si>
    <t>Firma del Secretario</t>
  </si>
  <si>
    <t>E.R.A../L.A.R.</t>
  </si>
  <si>
    <t>UBICACIÓN</t>
  </si>
  <si>
    <t>Pavimento Tipo sellado Slurry</t>
  </si>
  <si>
    <t>B° MARIO GOLDSTEIN</t>
  </si>
  <si>
    <t>Calle BARCALA (e) Rawson y A. Del Valle</t>
  </si>
  <si>
    <t>Calle CASEROS (e) Barcala y Volcán Santa María</t>
  </si>
  <si>
    <t>Carpeta asfáltica</t>
  </si>
  <si>
    <t>Calzada de Hormigón</t>
  </si>
  <si>
    <t>DOBLE VIA CARRIL SARMIENTO (e) Acceso Sur y 9 de Julio</t>
  </si>
  <si>
    <t>REEMB</t>
  </si>
  <si>
    <t>SI/NO</t>
  </si>
  <si>
    <t xml:space="preserve"> Banquina, cordón y cuneta</t>
  </si>
  <si>
    <t>Bº VILLA TERESA I</t>
  </si>
  <si>
    <t>Varios</t>
  </si>
  <si>
    <t>Construcción Alcantarillas</t>
  </si>
  <si>
    <t>Obras Menores (Desagüe, cunetas, etc.)</t>
  </si>
  <si>
    <t>Demoliciones</t>
  </si>
  <si>
    <t>Cierre y veredas</t>
  </si>
  <si>
    <t>Refacción de Plazas y Espacios Verdes</t>
  </si>
  <si>
    <t>CONEXIONES DOMICILIARIAS</t>
  </si>
  <si>
    <t>CONSOLIDADO DEPARTAMENTO EJECUTIVO-HONORABLE CONCEJO DELIBERANTE-FUERO ADMINISTRATIVO DE TRANSITO</t>
  </si>
  <si>
    <t>2008</t>
  </si>
  <si>
    <t>2009</t>
  </si>
  <si>
    <t>Intereses y Gtos de la Deuda</t>
  </si>
  <si>
    <t>Supuestos utilizados para estimar las proyecciones según Ley de Responsabilidad Fiscal</t>
  </si>
  <si>
    <t>Conceptos</t>
  </si>
  <si>
    <t>eficiencia en la recaudación Provincia-Nación</t>
  </si>
  <si>
    <t>crecimiento economía</t>
  </si>
  <si>
    <t>inflación</t>
  </si>
  <si>
    <t>copa fija</t>
  </si>
  <si>
    <t>dólar promedio anual</t>
  </si>
  <si>
    <t>eficiencia en la recaudación Municipio</t>
  </si>
  <si>
    <t>rec. municipal no sujeta a aumento</t>
  </si>
  <si>
    <t>porcentaje de aumento tributos munic.</t>
  </si>
  <si>
    <t>aumento tarifa eléctrica</t>
  </si>
  <si>
    <t>gasto de personal no sujeto a antigüedad</t>
  </si>
  <si>
    <t>aumentos de salarios personal</t>
  </si>
  <si>
    <t xml:space="preserve">    - porcentaje bonificable y remunerativo</t>
  </si>
  <si>
    <t xml:space="preserve">Ordenanza Nº </t>
  </si>
  <si>
    <t>ANEXO Gasto o costo tributario estimado por eximiciones autorizadas por Ordenanzas</t>
  </si>
  <si>
    <t>(ver detalle ajunto)</t>
  </si>
  <si>
    <t>Concepto</t>
  </si>
  <si>
    <t>Monto</t>
  </si>
  <si>
    <t>Eximiciones de jubilados, pensionados y carenciados</t>
  </si>
  <si>
    <t>Ordenanzas varias eximiciones (discapacitados, etc.)</t>
  </si>
  <si>
    <t>Eximiciones entidades sin fines de lucro (art. 30 y 31 Cód. Trib)</t>
  </si>
  <si>
    <t>Condonación deuda clubes deportivos (deuda retroactiva)</t>
  </si>
  <si>
    <t>Total</t>
  </si>
  <si>
    <t>ANEXO Destino de los Subsidios a otorgar (Ayuda Social Directa con fondos municipales)</t>
  </si>
  <si>
    <t>Repartición / Concepto</t>
  </si>
  <si>
    <t>I. INTENDENCIA</t>
  </si>
  <si>
    <t>MEDIACIÓN</t>
  </si>
  <si>
    <t>COMUNIT.</t>
  </si>
  <si>
    <t xml:space="preserve">    Atender demanda social espontánea producto de emergencia social, climática, etc.</t>
  </si>
  <si>
    <t xml:space="preserve">    Programa contención carreteleros</t>
  </si>
  <si>
    <t xml:space="preserve">    Programa tercera edad</t>
  </si>
  <si>
    <t xml:space="preserve">    Total</t>
  </si>
  <si>
    <t xml:space="preserve">   Programa de asistencia a la puérpera y al recién nacido - primer ajuar del bebé.</t>
  </si>
  <si>
    <t>V. VIVIENDA (según detalles adjuntos)</t>
  </si>
  <si>
    <t xml:space="preserve">   Ayuda a familias NBI residentes en asentamiento precarios, según demanda espontánea</t>
  </si>
  <si>
    <t xml:space="preserve">   Subsidios de ayuda económica o por desarraigo a familias de barrios en contrucción</t>
  </si>
  <si>
    <t xml:space="preserve">   Refuerzo para urbanización barrio Campo Papa y Centros Integrales Comunitarios</t>
  </si>
  <si>
    <t xml:space="preserve">   Total</t>
  </si>
  <si>
    <t>VI. HONORABLE CONCEJO DELIBERANTE</t>
  </si>
  <si>
    <t>TOTAL GENERAL AYUDA SOCIAL DIRECTA CON FONDOS MUNICIPALES</t>
  </si>
  <si>
    <t>DISTRITO</t>
  </si>
  <si>
    <t>DISTRITO CENTRO</t>
  </si>
  <si>
    <t>Obras Municipales</t>
  </si>
  <si>
    <t xml:space="preserve">  Déficit Estimado Ejercicio 2007</t>
  </si>
  <si>
    <t>Nota: Incluye a Defensa Civil y Relaciones con la Comunidad y dependencias a cargo</t>
  </si>
  <si>
    <t>Jurisd:</t>
  </si>
  <si>
    <t>Higiene Urbana</t>
  </si>
  <si>
    <t>Planificación Urbana</t>
  </si>
  <si>
    <t>DISTRITO BENEGAS</t>
  </si>
  <si>
    <t>Solicitado a Vías y Medios de Transporte de la Provincia</t>
  </si>
  <si>
    <t>Servicios Públicos</t>
  </si>
  <si>
    <t>Tránsito</t>
  </si>
  <si>
    <t>Inspección gral y Fiscal.</t>
  </si>
  <si>
    <t>DISTRITO LAS TORTUGAS</t>
  </si>
  <si>
    <t>Servicios públicos</t>
  </si>
  <si>
    <t>Inspección gral y fiscalizacíon</t>
  </si>
  <si>
    <t>Problema de agua y cloacas ( B° COVIMET)</t>
  </si>
  <si>
    <t>DISTRITO VILLA DEL PARQUE</t>
  </si>
  <si>
    <t>DISTRITO VILLA MARINI</t>
  </si>
  <si>
    <t>Fondo de Infraestructura Municipal</t>
  </si>
  <si>
    <r>
      <rPr>
        <b/>
        <sz val="10"/>
        <color indexed="8"/>
        <rFont val="Helvetica"/>
        <family val="2"/>
      </rPr>
      <t xml:space="preserve">RUBRO II MANTENIMIENTO  ALUMBRADO PÚBLICO ASIGNADO EN EL RUBRO SERVICIOS </t>
    </r>
  </si>
  <si>
    <t>DISTRITO SAN FRANCISCO DEL MONTE</t>
  </si>
  <si>
    <t xml:space="preserve">Solicitado a Irrigación </t>
  </si>
  <si>
    <t>DISTRITO TRAPICHE</t>
  </si>
  <si>
    <t>Planificación urbana</t>
  </si>
  <si>
    <t>Prog. P.Residuos Pilas y Baterías Bs de Consumo</t>
  </si>
  <si>
    <t>Inspección gral y fiscalización</t>
  </si>
  <si>
    <t>CUADRO RESUMEN DE RECURSOS, FINANCIAMIENTO Y EROGACIONES</t>
  </si>
  <si>
    <t>DEPARTAMENTO EJECUTIVO-HONORABLE CONCEJO DELIBERANTE-FUERO ADMINISTRATIVO DE TRANSITO</t>
  </si>
  <si>
    <t>CONCEPTOS</t>
  </si>
  <si>
    <t>IMPORTES</t>
  </si>
  <si>
    <t>%</t>
  </si>
  <si>
    <t>EROGACIONES CORRIENTES</t>
  </si>
  <si>
    <t>De Jurisdicción Municipal</t>
  </si>
  <si>
    <t>Operación</t>
  </si>
  <si>
    <t xml:space="preserve">   Personal</t>
  </si>
  <si>
    <t xml:space="preserve">   Bienes de Consumo</t>
  </si>
  <si>
    <t>De Otras Jurisdicciones</t>
  </si>
  <si>
    <t xml:space="preserve">   Servicios</t>
  </si>
  <si>
    <t xml:space="preserve">   Intereses y Gtos de la Deuda</t>
  </si>
  <si>
    <t xml:space="preserve">   Transferencias Corrientes</t>
  </si>
  <si>
    <t>EROGACIONES de CAPITAL</t>
  </si>
  <si>
    <t xml:space="preserve">    Bienes de Capital</t>
  </si>
  <si>
    <t xml:space="preserve">    Trabajos Públicos</t>
  </si>
  <si>
    <t xml:space="preserve">     Bienes Preexistentes</t>
  </si>
  <si>
    <t>TOTAL DE RECURSOS</t>
  </si>
  <si>
    <t>OTRAS EROGACIONES</t>
  </si>
  <si>
    <t>NECESIDAD DE FINANCIAMIENTO</t>
  </si>
  <si>
    <t>4.4.7</t>
  </si>
  <si>
    <t>447</t>
  </si>
  <si>
    <t>SERVICIOS PUBLICOS - DPTO. DE TALLERES</t>
  </si>
  <si>
    <t>TALLERES</t>
  </si>
  <si>
    <t xml:space="preserve">Personal </t>
  </si>
  <si>
    <t xml:space="preserve">   Aportes No Reintegrables</t>
  </si>
  <si>
    <t>TOTAL DE EROGACIONES</t>
  </si>
  <si>
    <t xml:space="preserve">   Uso del Crédito</t>
  </si>
  <si>
    <t>RESUMEN GENERAL</t>
  </si>
  <si>
    <t>Total de Recursos y Financiamiento</t>
  </si>
  <si>
    <t>Total de Erogaciones</t>
  </si>
  <si>
    <t>TOTAL RECURSOS Y FINANCIAMIENTO</t>
  </si>
  <si>
    <t>Diferencia</t>
  </si>
  <si>
    <t>DETERMINACIÓN DE LA NECESIDAD DE FINANCIAMIENTO</t>
  </si>
  <si>
    <t>RUBROS</t>
  </si>
  <si>
    <t xml:space="preserve">  Total de Erogaciones Presupuestadas</t>
  </si>
  <si>
    <t xml:space="preserve">Más </t>
  </si>
  <si>
    <t xml:space="preserve">  Deuda Consolidada</t>
  </si>
  <si>
    <t>Sub-Total</t>
  </si>
  <si>
    <t xml:space="preserve">  Total de Recursos Presupuestados</t>
  </si>
  <si>
    <t>PROYECTO DE PRESUPUESTO 2008 - PLAN DE OBRAS MUNICIPALES</t>
  </si>
  <si>
    <t>DETALLE DE INVERSIÓN EN TRABAJOS PÚBLICOS - AÑO 2.008</t>
  </si>
  <si>
    <t>Bº BARRANCOS I y Bº LOS CERROS</t>
  </si>
  <si>
    <t>Bº TOSSI</t>
  </si>
  <si>
    <t>Calle CUBILLOS (e) Independencia y Preciado</t>
  </si>
  <si>
    <t>Bº VILLA ORTIZ</t>
  </si>
  <si>
    <t>Calle PELLEGRINI (e) Paso de los Andes y Pedro P. Segura</t>
  </si>
  <si>
    <t>Bº FLOR DE CUYO</t>
  </si>
  <si>
    <t>Calle Jorge Newbery</t>
  </si>
  <si>
    <t>Bº LA PERLA (calles Matheu, V. Sarsfield y Triunvirato)</t>
  </si>
  <si>
    <t>Bº SEOVA SUR (calle Alberdi (e) Alem y Barcala)</t>
  </si>
  <si>
    <t>Calle PAMPLONA (e) Lago Argentino y Zaragoza</t>
  </si>
  <si>
    <t>Perimetro ESCUELA CERRO ACONCAGUA</t>
  </si>
  <si>
    <t>Bº VILLA TERESA II (calle Barcala)</t>
  </si>
  <si>
    <t>SUB-TOTALES</t>
  </si>
  <si>
    <t xml:space="preserve">                                                               OBRAS LICITADAS Y A AFECTAR EN EL PPTO. 2008</t>
  </si>
  <si>
    <t>PARQUE DEL AGUA-CONSTRUCCION CIERRE - Expte. 2007 / S / 888</t>
  </si>
  <si>
    <t>PLAYONES DEPORTIVOS-EJECUCIÓN DEL CIERRE PERIMETRAL - Expte. 2007 / S / 816</t>
  </si>
  <si>
    <t>OBRAS MENORES DE INFRAESTRUCTURA VIAL-EJECUCIÓN  - Expte. 2007 / S / 718</t>
  </si>
  <si>
    <t xml:space="preserve">CANILES-REACONDICIONAMIENTO y REFAC. OFICINA DE CANES - Expte. </t>
  </si>
  <si>
    <t xml:space="preserve">OBRAS DE INFRAESTRUCTURA VIAL-BANQUINA, CORDÓN, CUNETA Y OBRAS COMPLEMENT. - Expte. </t>
  </si>
  <si>
    <t xml:space="preserve">EDIFICIOS ESCOLARES-HIGIENE Y SEGURIDAD - Expte. </t>
  </si>
  <si>
    <t xml:space="preserve">Bº PRADERAS DEL TRAPICHE-RED COLECTORA - Expte. </t>
  </si>
  <si>
    <t xml:space="preserve">BARRIO PALUMBO-BANQUINA, CORDÓN, CUNETA Y OBRAS COMPLEMENT. - Expte. </t>
  </si>
  <si>
    <t xml:space="preserve">PARQUE DEL AGUA-EJECUCIÓN 2ª ETAPA - Expte. </t>
  </si>
  <si>
    <t>BARRIO SOEVA-BANQUINA, CORDÓN, CUNETA Y OBRAS COMPLEMENT. - Expte. 2007 / S / 150 - 20% a certificar</t>
  </si>
  <si>
    <t>TOTAL A AFECTAR PPTO 2008</t>
  </si>
  <si>
    <t>DIRECCION DE OBRAS MUNICIPALES, 24 de setiembre de 2.007.-</t>
  </si>
  <si>
    <t>Bº COVIMET V (Expte. 2037/05)</t>
  </si>
  <si>
    <t>Bº NUESTRA SEÑORA DE LOS MILAGROS (Expte. 17712/07)</t>
  </si>
  <si>
    <t>Bº CORREDOR URBANO I (Expte. 4817/03)</t>
  </si>
  <si>
    <t>Bº BARRANCOS II</t>
  </si>
  <si>
    <t>Calle ILLIA (e) Soler y Dique Tulumaya</t>
  </si>
  <si>
    <t>Calle 9 DE JULIO (e) R. Peña y Sarmiento</t>
  </si>
  <si>
    <t>Calle MORALES (e) Paso y Barraquero</t>
  </si>
  <si>
    <t>Calle J. BARRAQUERO (e) Alem y Cervantes</t>
  </si>
  <si>
    <t>Puente calle DIQUE LOS NIHUILES sobre Canal JARILLAL</t>
  </si>
  <si>
    <t>Bº  PARQUE SUR - pasajes</t>
  </si>
  <si>
    <t>OBRAS LICITADAS Y A AFECTAR EN EL 2008</t>
  </si>
  <si>
    <t>CALLES A. DEL VALLE, C. TOLOSA y CORRIENTES-CALZADA DE HORMIGÓN Y OBRAS COMPLEMENTARIAS - Expte. 2007 / S / 838</t>
  </si>
  <si>
    <r>
      <rPr>
        <b/>
        <sz val="10"/>
        <color indexed="8"/>
        <rFont val="Helvetica"/>
        <family val="2"/>
      </rPr>
      <t>MANTENIMIENTO  ELÉCTRICO (Plazas, Espacios verdes, Dependencias municipales, etc.)</t>
    </r>
  </si>
  <si>
    <r>
      <rPr>
        <b/>
        <sz val="10"/>
        <color indexed="8"/>
        <rFont val="Helvetica"/>
        <family val="2"/>
      </rPr>
      <t>RECONVERSIÓN DEL ALUMBRADO PÚBLICO - RUBRO II MANTENIMIENTO  ALUMBRADO PÚBLICO</t>
    </r>
  </si>
  <si>
    <t xml:space="preserve">  Aportes No Reintegrables</t>
  </si>
  <si>
    <t xml:space="preserve">  Uso del Crédito</t>
  </si>
  <si>
    <t>SUMAS IGUALES</t>
  </si>
  <si>
    <t>CALCULO DE RECURSOS Y FINANCIAMIENTO</t>
  </si>
  <si>
    <t>CODIGO</t>
  </si>
  <si>
    <t>SECC.</t>
  </si>
  <si>
    <t>SECT.</t>
  </si>
  <si>
    <t>P.PRINC.</t>
  </si>
  <si>
    <t>P.PARC.</t>
  </si>
  <si>
    <t>P.SUP</t>
  </si>
  <si>
    <t>$</t>
  </si>
  <si>
    <t>DE JURISDICCION MUNICIPAL</t>
  </si>
  <si>
    <t>Derechos de Transferencias</t>
  </si>
  <si>
    <t>Ecotasa</t>
  </si>
  <si>
    <t>Venta de Residuos</t>
  </si>
  <si>
    <t>Otros</t>
  </si>
  <si>
    <t>Transporte</t>
  </si>
  <si>
    <t>FINANCIAMIENTO</t>
  </si>
  <si>
    <t>TOTAL DE RECURSOS Y FINANCIAMIENTO</t>
  </si>
  <si>
    <t>EROGACIONES CONSOLIDADAS</t>
  </si>
  <si>
    <t>DEPARTAMENTO EJECUTIVO - HONORABLE CONCEJO DELIBERANTE - FUERO ADMINISTRATIVO TRANSITO</t>
  </si>
  <si>
    <t>TOTAL</t>
  </si>
  <si>
    <t>INTENDENCIA</t>
  </si>
  <si>
    <t>GOBIERNO</t>
  </si>
  <si>
    <t>HACIENDA</t>
  </si>
  <si>
    <t>H.C.D.</t>
  </si>
  <si>
    <t>JUZGADOS</t>
  </si>
  <si>
    <t>Personal</t>
  </si>
  <si>
    <t>Bienes de Consumo</t>
  </si>
  <si>
    <t>Servicios</t>
  </si>
  <si>
    <t>Int y Gtos de la Deuda</t>
  </si>
  <si>
    <t>Transferencias Corrientes</t>
  </si>
  <si>
    <t>Bienes de Capital</t>
  </si>
  <si>
    <t>Trabajos Públicos</t>
  </si>
  <si>
    <t>Bienes Preexistentes</t>
  </si>
  <si>
    <t>Amortización de la Deuda</t>
  </si>
  <si>
    <t>DEPARTAMENTO EJECUTIVO - INTENDENCIA</t>
  </si>
  <si>
    <t>SEC.PRIV.</t>
  </si>
  <si>
    <t>JURIDICA</t>
  </si>
  <si>
    <t>COM.SOCIAL</t>
  </si>
  <si>
    <t xml:space="preserve">CLASIFICACIÓN ECONÓMICA </t>
  </si>
  <si>
    <t>IMPORTE</t>
  </si>
  <si>
    <t>SECC</t>
  </si>
  <si>
    <t>SECT</t>
  </si>
  <si>
    <t>P.PRIN</t>
  </si>
  <si>
    <t>P.SUP.</t>
  </si>
  <si>
    <t xml:space="preserve">Y POR OBJETO </t>
  </si>
  <si>
    <t>OPERACIÓN</t>
  </si>
  <si>
    <t>Personal Permanente</t>
  </si>
  <si>
    <t>01</t>
  </si>
  <si>
    <t>Asignación de la Clase</t>
  </si>
  <si>
    <t>02</t>
  </si>
  <si>
    <t>Bonificación por Antigüedad</t>
  </si>
  <si>
    <t>03</t>
  </si>
  <si>
    <t>Bonificación por M. Dedicación</t>
  </si>
  <si>
    <t>04</t>
  </si>
  <si>
    <t>05</t>
  </si>
  <si>
    <t>Suplementos Varios</t>
  </si>
  <si>
    <t>06</t>
  </si>
  <si>
    <t>Sueldo Anual Complementario</t>
  </si>
  <si>
    <t>07</t>
  </si>
  <si>
    <t>Asignación Familiar</t>
  </si>
  <si>
    <t>08</t>
  </si>
  <si>
    <t>09</t>
  </si>
  <si>
    <t>10</t>
  </si>
  <si>
    <t>Personal Temporario</t>
  </si>
  <si>
    <t>INTERESES Y GASTOS de la DEUDA</t>
  </si>
  <si>
    <t>Intereses y Gastos de la Deuda</t>
  </si>
  <si>
    <t>TRANSFERENCIAS CORRIENTES</t>
  </si>
  <si>
    <t>INVERSIÓN REAL</t>
  </si>
  <si>
    <t>INVERSIÓN FINANCIERA</t>
  </si>
  <si>
    <t>INVERSIÓN BS. PREEXISTENTES</t>
  </si>
  <si>
    <t>AMORTIZACIÓN DE LA DEUDA</t>
  </si>
  <si>
    <t>TOTAL de EROGACIONES</t>
  </si>
  <si>
    <t>SECRETARÍA PRIVADA</t>
  </si>
  <si>
    <t>DIRECCIÓN DE JURÍDICA</t>
  </si>
  <si>
    <t>DIRECCIÓN DE COMUNICACIÓN SOCIAL</t>
  </si>
  <si>
    <t>DEPARTAMENTO EJECUTIVO - GOBIERNO</t>
  </si>
  <si>
    <t>SECRETARÍA</t>
  </si>
  <si>
    <t>DEPORTES</t>
  </si>
  <si>
    <t>CULTURA</t>
  </si>
  <si>
    <t>SECRETARÍA de GOBIERNO</t>
  </si>
  <si>
    <t>SECRETARÍA de GOBIERNO - CONTROL de TRÁNSITO</t>
  </si>
  <si>
    <t>DEPARTAMENTO EJECUTIVO - HACIENDA</t>
  </si>
  <si>
    <t>RENTAS</t>
  </si>
  <si>
    <t>TESORERÍA</t>
  </si>
  <si>
    <t>CONTADURÍA</t>
  </si>
  <si>
    <t>SISTEMA</t>
  </si>
  <si>
    <t>SECRETARÍA de HACIENDA</t>
  </si>
  <si>
    <t>Deuda Flotante</t>
  </si>
  <si>
    <t>Deuda Consolidada</t>
  </si>
  <si>
    <t>DIRECCIÓN DE RENTAS</t>
  </si>
  <si>
    <t>CATASTRO</t>
  </si>
  <si>
    <t>HONORABLE CONCEJO DELIBERANTE</t>
  </si>
  <si>
    <t>FUEROS ADMINISTRATIVOS DE TRANSITO</t>
  </si>
  <si>
    <t>DEPARTAMENTO EJECUTIVO - SEC. DE OBRAS Y SERV. PUBLICOS</t>
  </si>
  <si>
    <t>O. MUNICIPALES</t>
  </si>
  <si>
    <t>PLAN.URBANA</t>
  </si>
  <si>
    <t>SERV. PÚBLICOS</t>
  </si>
  <si>
    <t>O.PRIVADAS</t>
  </si>
  <si>
    <t>HIGIENE URBANA</t>
  </si>
  <si>
    <t>VIVIENDA</t>
  </si>
  <si>
    <t>SECRETARÍA de OBRAS Y S. PÚBLICOS</t>
  </si>
  <si>
    <t>OBRAS MUNICIPALES - OBRAS CIVILES</t>
  </si>
  <si>
    <t>OBRAS MUNICIPALES - OBRAS VIALES</t>
  </si>
  <si>
    <t>OBRAS MUNICIPALES - ELECTRICIDAD</t>
  </si>
  <si>
    <t>SERVICIOS PUBLICOS - MANTENIMIENTO Y PRODUCCION</t>
  </si>
  <si>
    <t>SERVICIOS PUBLICOS - FORESTACION</t>
  </si>
  <si>
    <t>11</t>
  </si>
  <si>
    <t>Adicionales Especiales</t>
  </si>
  <si>
    <t>Suplementos por Riesgo</t>
  </si>
  <si>
    <t>Bonif. Por Título y/o Respons. Profesional</t>
  </si>
  <si>
    <t>12</t>
  </si>
  <si>
    <t>Adicionales no remunerativos y/o bonific.</t>
  </si>
  <si>
    <t>Contribuciones Jubilatorias</t>
  </si>
  <si>
    <t>Contribución para O. Social</t>
  </si>
  <si>
    <t>13</t>
  </si>
  <si>
    <t>14</t>
  </si>
  <si>
    <t>Contribución para A.R.T.</t>
  </si>
  <si>
    <t>Otras Contribuciones</t>
  </si>
  <si>
    <t>CONCEPTO</t>
  </si>
  <si>
    <t>Bienes de Capital en general</t>
  </si>
  <si>
    <t>PAC Bienes de capital</t>
  </si>
  <si>
    <t>Diferencias</t>
  </si>
  <si>
    <t>Operacion</t>
  </si>
  <si>
    <t>Bienes de Consumos</t>
  </si>
  <si>
    <t>CLASE</t>
  </si>
  <si>
    <t>DEPARTAMENTO EJECUTIVO</t>
  </si>
  <si>
    <t>SECRETARIOS DEL DPTO.EJECUTIVO</t>
  </si>
  <si>
    <t xml:space="preserve">DIRECTOR NIVEL "A" </t>
  </si>
  <si>
    <t xml:space="preserve">DIRECTOR NIVEL "B" </t>
  </si>
  <si>
    <t xml:space="preserve">DIRECTOR NIVEL "C" </t>
  </si>
  <si>
    <t xml:space="preserve">DIRECTOR NIVEL "D" </t>
  </si>
  <si>
    <t xml:space="preserve">DIRECTOR NIVEL "E" </t>
  </si>
  <si>
    <t>PRESIDENTE DEL H.C.D.</t>
  </si>
  <si>
    <t>CONCEJALES</t>
  </si>
  <si>
    <t>Venta de Valores Mobiliarios</t>
  </si>
  <si>
    <t>DPTO. EJECUTIVO</t>
  </si>
  <si>
    <t>EROGACIONES CONSOLIDADAS POR JURISDICCION</t>
  </si>
  <si>
    <t>ADMINISTR.</t>
  </si>
  <si>
    <t xml:space="preserve">  </t>
  </si>
  <si>
    <t>SECRETARIOS</t>
  </si>
  <si>
    <t>PROSECRETARIOS</t>
  </si>
  <si>
    <t>SERV.ESPEC.</t>
  </si>
  <si>
    <t>DEPARTAMENTO EJECUTIVO - SERVICIOS ESPECIALES</t>
  </si>
  <si>
    <t>TURISMO</t>
  </si>
  <si>
    <t>RECURSOS CORRIENTES</t>
  </si>
  <si>
    <t>Derechos de Actuación Administrativa</t>
  </si>
  <si>
    <t>Derechos de Edificación</t>
  </si>
  <si>
    <t>Derechos de Cementerio</t>
  </si>
  <si>
    <t>Derechos de Inspección de Espectáculos Públicos</t>
  </si>
  <si>
    <t>Derechos de Publicidad y Propaganda</t>
  </si>
  <si>
    <t>Derechos de Concesiones</t>
  </si>
  <si>
    <t>Derechos de Ocupación Espacios Públicos</t>
  </si>
  <si>
    <t>Planes de Consolidación</t>
  </si>
  <si>
    <t>Otros Derechos</t>
  </si>
  <si>
    <t>TASAS Y DERECHOS MUNICIPALES</t>
  </si>
  <si>
    <t>OTROS INGRESOS DE ORIGEN MUNICIPAL</t>
  </si>
  <si>
    <t>Multas Generales</t>
  </si>
  <si>
    <t>Venta de Pliegos, Publicaciones y Otros</t>
  </si>
  <si>
    <t>Producidos de Estacionamiento Medido</t>
  </si>
  <si>
    <t>Producidos de Convenios I.P.V.</t>
  </si>
  <si>
    <t>Recursos Eventuales</t>
  </si>
  <si>
    <t>DE ORIGEN NACIONAL</t>
  </si>
  <si>
    <t>Distribución Secundaria</t>
  </si>
  <si>
    <t>REGALIAS</t>
  </si>
  <si>
    <t>DE ORIGEN PROVINCIAL</t>
  </si>
  <si>
    <t>REGIMEN DE PARTICIPACION PROVINCIAL</t>
  </si>
  <si>
    <t>Distribución Primaria</t>
  </si>
  <si>
    <t>Impuesto Inmobiliario</t>
  </si>
  <si>
    <t>Participación Ejercicios Vencidos</t>
  </si>
  <si>
    <t>Fondos de Promoción Turistica</t>
  </si>
  <si>
    <t>Fondo Compensador</t>
  </si>
  <si>
    <t>Participaciones a Clasificar</t>
  </si>
  <si>
    <t>OTROS INGRESOS DE JURISDICCION PROVINCIAL</t>
  </si>
  <si>
    <t>Fondos de Programas Descentralizados</t>
  </si>
  <si>
    <t>Fondos para Desarrollo Económico</t>
  </si>
  <si>
    <t>Fondos para Desarrollo Deportivo</t>
  </si>
  <si>
    <t>Otros Fondos Descentralizados</t>
  </si>
  <si>
    <t>TOTAL DE RECURSOS CORRIENTES</t>
  </si>
  <si>
    <t>VENTA DE BIENES DE USO</t>
  </si>
  <si>
    <t>Venta de Inmuebles</t>
  </si>
  <si>
    <t>Venta de Muebles</t>
  </si>
  <si>
    <t>Venta de Semovientes</t>
  </si>
  <si>
    <t>Obras de Cloacas</t>
  </si>
  <si>
    <t>Red de Agua Potable y Cloacas</t>
  </si>
  <si>
    <t>Alumbrado Público</t>
  </si>
  <si>
    <t>Red Gas Natural</t>
  </si>
  <si>
    <t>REEMBOLSO DE PRESTAMOS</t>
  </si>
  <si>
    <t>Préstamos Fondo Transformación y Crecimiento</t>
  </si>
  <si>
    <t>OTROS RECURSOS DE CAPITAL</t>
  </si>
  <si>
    <t>Crédito Fiscal IVA</t>
  </si>
  <si>
    <t>RECURSOS DE CAPITAL</t>
  </si>
  <si>
    <t>TOTAL DE RECURSOS DE CAPITAL</t>
  </si>
  <si>
    <t>USO DEL CRÉDITO</t>
  </si>
  <si>
    <t>A Largo Plazo</t>
  </si>
  <si>
    <t>Colocación de Título Públicos</t>
  </si>
  <si>
    <t>Instituciones Financieras</t>
  </si>
  <si>
    <t>Proveedores y Contratistas</t>
  </si>
  <si>
    <t>A Corto Plazo</t>
  </si>
  <si>
    <t>APORTES NO REINTEGRABLES</t>
  </si>
  <si>
    <t>De Jurisdicción Nacional</t>
  </si>
  <si>
    <t>De Jurisdicción Provincial</t>
  </si>
  <si>
    <t>REMANENTES DE EJERCICIOS ANTERIORES</t>
  </si>
  <si>
    <t>ADELANTOS A PROVEEDORES Y CONTRAT ISTAS</t>
  </si>
  <si>
    <t>APORTES REINTEGRABLES</t>
  </si>
  <si>
    <t xml:space="preserve">   Otros Ingresos de Origen Municipal</t>
  </si>
  <si>
    <t>De Origen Nacional</t>
  </si>
  <si>
    <t>De Origen Provincial</t>
  </si>
  <si>
    <t xml:space="preserve">   Reembolso de Obras Públicas</t>
  </si>
  <si>
    <t xml:space="preserve">   Otros Recursos de Capital</t>
  </si>
  <si>
    <t xml:space="preserve">   Aportes Reintegrables</t>
  </si>
  <si>
    <t xml:space="preserve">   Remanentes de Ejercicios Anteriores</t>
  </si>
  <si>
    <t xml:space="preserve">   Adelantos a Proveedores y Contratistas</t>
  </si>
  <si>
    <t xml:space="preserve">  Aportes Reintegrables</t>
  </si>
  <si>
    <t xml:space="preserve">  Remanentes de Ejercicios Anteriores</t>
  </si>
  <si>
    <t xml:space="preserve">  Adelantos a Proveedores y Contratistas</t>
  </si>
  <si>
    <t>Alimentos, racionamiento y refrigerios</t>
  </si>
  <si>
    <t>Forrajes y alimentos para animales</t>
  </si>
  <si>
    <t>Combustibles y Lubricantes</t>
  </si>
  <si>
    <t>Uniformes y equipos para el personal</t>
  </si>
  <si>
    <t>Utiles, papelería y elementos de oficina</t>
  </si>
  <si>
    <t>Material didáctico y deportivo</t>
  </si>
  <si>
    <t>Productos medicinales y elementos comp. para la salud</t>
  </si>
  <si>
    <t>381</t>
  </si>
  <si>
    <t>Fertilizantes y productos para sanidad vegetal y animal</t>
  </si>
  <si>
    <t>Artículos de Limpieza y desinfección</t>
  </si>
  <si>
    <t>Artículos de bazar y menaje</t>
  </si>
  <si>
    <t>Elem. Para la conservación de inmuebles e instalaciones</t>
  </si>
  <si>
    <t>Elem. Para la conservación de rodados y maquinarias</t>
  </si>
  <si>
    <t>Elem para la conservación de muebles y otros bs capital</t>
  </si>
  <si>
    <t>Insumos para sistemas informáticos</t>
  </si>
  <si>
    <t>Otros Bienes de Consumo</t>
  </si>
  <si>
    <t>PAC - Bienes de Consumo</t>
  </si>
  <si>
    <t>Fondos de Turismo - Bs, de Consumo</t>
  </si>
  <si>
    <t>COPUMAVI - Bienes de consumo</t>
  </si>
  <si>
    <t>UCA - Bienes de consumo</t>
  </si>
  <si>
    <t>Electricidad, Gas y Agua y Cloacas</t>
  </si>
  <si>
    <t>Transporte y Almacenaje</t>
  </si>
  <si>
    <t>Comunicaciones</t>
  </si>
  <si>
    <t>Honoracios</t>
  </si>
  <si>
    <t>Publicidad y Propaganda</t>
  </si>
  <si>
    <t>Seguros</t>
  </si>
  <si>
    <t>Alquileres</t>
  </si>
  <si>
    <t>Impuestos, Derechos y Tasas</t>
  </si>
  <si>
    <t>Viáticos, Pasajes y Movilidad</t>
  </si>
  <si>
    <t>Cortesía, Homenaje y Protocolo</t>
  </si>
  <si>
    <t>Gastos Judiciales</t>
  </si>
  <si>
    <t>Multas e Indemnizaciones</t>
  </si>
  <si>
    <t>Conservación de Inmuebles e Instalaciones</t>
  </si>
  <si>
    <t>Conservación de Rodados y Maquinarias</t>
  </si>
  <si>
    <t>Cons.de Muebles, Maquinarias y Otros Bs. de Capital</t>
  </si>
  <si>
    <t>Limpieza y Desinfección</t>
  </si>
  <si>
    <t>Gastos de Imprenta y Reproducción</t>
  </si>
  <si>
    <t>Servicios Públicos Ejecutados por Terceros</t>
  </si>
  <si>
    <t>Gastos Bancarios</t>
  </si>
  <si>
    <t>Festivales, Exposiociones y Concursos</t>
  </si>
  <si>
    <t>Otros Servicios</t>
  </si>
  <si>
    <t>Maquinarias y Equipos</t>
  </si>
  <si>
    <t>Herramientas y Utiles de Trabajo</t>
  </si>
  <si>
    <t>Medios de Transporte</t>
  </si>
  <si>
    <t>Aparatos e Instrumentos</t>
  </si>
  <si>
    <t>Equipos y Útiles Educacionales y Recreativos</t>
  </si>
  <si>
    <t>Elementos de Seguridad</t>
  </si>
  <si>
    <t>Incluye Dptos y dependencias a cargo</t>
  </si>
  <si>
    <t>Incluye Subdirección de Administración y Dptos a cargo</t>
  </si>
  <si>
    <t>PROMOCIÓN ECONÓMICA - TURISMO</t>
  </si>
  <si>
    <t>761</t>
  </si>
  <si>
    <t>781</t>
  </si>
  <si>
    <t>Año 2008</t>
  </si>
  <si>
    <t>ENTRE PRESUPUESTO VOTADO  2007 Y PROYECTO 2008</t>
  </si>
  <si>
    <t>ENTRE PRESUPUESTO VIGENTE AL 31/10/2007 Y PROYECTO 2008</t>
  </si>
  <si>
    <t>al 31/10/2007</t>
  </si>
  <si>
    <t>Indicadores - Presupuesto 2008</t>
  </si>
  <si>
    <t>CUADRO RESUMEN DE RECURSOS, FINANCIAMIENTO Y EROGACIONES - PROYECCIONES 2008/2009/2010</t>
  </si>
  <si>
    <t>2010</t>
  </si>
  <si>
    <t>Colecciones y Elementos de Bibliotecas y Museos</t>
  </si>
  <si>
    <t>Moblajes</t>
  </si>
  <si>
    <t>Instalaciones</t>
  </si>
  <si>
    <t>Semovientes</t>
  </si>
  <si>
    <t>Máq., Equipos de Oficina y Equipos p/ Computación</t>
  </si>
  <si>
    <t>1</t>
  </si>
  <si>
    <t>ADMINISTRACIÓN GENERAL</t>
  </si>
  <si>
    <t>3</t>
  </si>
  <si>
    <t>SEGURIDAD</t>
  </si>
  <si>
    <t>Denominación</t>
  </si>
  <si>
    <t>Administración Fiscal</t>
  </si>
  <si>
    <t>Secretaría de Hacienda</t>
  </si>
  <si>
    <t>Catastro</t>
  </si>
  <si>
    <t>Rentas</t>
  </si>
  <si>
    <t>Tesorería General</t>
  </si>
  <si>
    <t>Contaduría General</t>
  </si>
  <si>
    <t>20</t>
  </si>
  <si>
    <t>Control Fiscal</t>
  </si>
  <si>
    <t>30</t>
  </si>
  <si>
    <t>Legislación</t>
  </si>
  <si>
    <t>Presidencia y Secretarias del H.C.D.</t>
  </si>
  <si>
    <t>Bloques del H.C.D.</t>
  </si>
  <si>
    <t>40</t>
  </si>
  <si>
    <t>Justicia</t>
  </si>
  <si>
    <t>Jusgados de Tránsito</t>
  </si>
  <si>
    <t>60</t>
  </si>
  <si>
    <t>Culto</t>
  </si>
  <si>
    <t>70</t>
  </si>
  <si>
    <t>Apoyo a gobiernos locales</t>
  </si>
  <si>
    <t>90</t>
  </si>
  <si>
    <t>Administración general sin descriminar</t>
  </si>
  <si>
    <t>Intendente</t>
  </si>
  <si>
    <t>Secretaría Privada</t>
  </si>
  <si>
    <t>Jurídica</t>
  </si>
  <si>
    <t>Comunicación Social</t>
  </si>
  <si>
    <t>Secretaría de Gobierno</t>
  </si>
  <si>
    <t>Administración</t>
  </si>
  <si>
    <t>Sistema</t>
  </si>
  <si>
    <t>Policía interior</t>
  </si>
  <si>
    <t>Seguridad sin discriminar</t>
  </si>
  <si>
    <t>4</t>
  </si>
  <si>
    <t>SALUD</t>
  </si>
  <si>
    <t>Atención médica</t>
  </si>
  <si>
    <t>Saneamiento ambiental</t>
  </si>
  <si>
    <t>Salud sin discriminar</t>
  </si>
  <si>
    <t>5</t>
  </si>
  <si>
    <t>CULTURA Y EDUCACIÓN</t>
  </si>
  <si>
    <t>Cultura</t>
  </si>
  <si>
    <t>Director</t>
  </si>
  <si>
    <t>Educación elemental</t>
  </si>
  <si>
    <t>Educación media y técnica</t>
  </si>
  <si>
    <t>Cultura y educación sin discriminar</t>
  </si>
  <si>
    <t>6</t>
  </si>
  <si>
    <t>DESARROLLO DE LA ECONOMÍA</t>
  </si>
  <si>
    <t>Suelo, riego, desagûe y drenaje</t>
  </si>
  <si>
    <t>Agricultura, ganadería y recursos naturales renovables</t>
  </si>
  <si>
    <t>Energía y combustibles</t>
  </si>
  <si>
    <t xml:space="preserve">Canteras y minas </t>
  </si>
  <si>
    <t>Industria</t>
  </si>
  <si>
    <t>35</t>
  </si>
  <si>
    <t>Turismo</t>
  </si>
  <si>
    <t>45</t>
  </si>
  <si>
    <t>Infraestructura vial</t>
  </si>
  <si>
    <t>50</t>
  </si>
  <si>
    <t>Comercio y almacenaje</t>
  </si>
  <si>
    <t>Seguros y Finanzas</t>
  </si>
  <si>
    <t>Desarrollo de la economía sin discriminar</t>
  </si>
  <si>
    <t>7</t>
  </si>
  <si>
    <t>BIENESTAR SOCIAL</t>
  </si>
  <si>
    <t>Control de Tránsito</t>
  </si>
  <si>
    <t>Vivienda</t>
  </si>
  <si>
    <t>Asistencia y promoción social</t>
  </si>
  <si>
    <t>Deporte y recreación</t>
  </si>
  <si>
    <t>Bienenstar social sin discriminar</t>
  </si>
  <si>
    <t>8</t>
  </si>
  <si>
    <t>DEUDA PÚBLICA</t>
  </si>
  <si>
    <t>Deuda pública</t>
  </si>
  <si>
    <t>9</t>
  </si>
  <si>
    <t>GASTOS A CLASIFICAR</t>
  </si>
  <si>
    <t>A clasificar por distribución</t>
  </si>
  <si>
    <t>FUNCION</t>
  </si>
  <si>
    <t>FINALIDAD</t>
  </si>
  <si>
    <t>Código</t>
  </si>
  <si>
    <t xml:space="preserve">Total </t>
  </si>
  <si>
    <t xml:space="preserve">CLASIFICACION POR FINALIDAD Y FUNCION </t>
  </si>
  <si>
    <t>Secretario de Obras y Servicios Públicos</t>
  </si>
  <si>
    <t>Obras Civiles</t>
  </si>
  <si>
    <t>Obras Viales</t>
  </si>
  <si>
    <t>Electricidad</t>
  </si>
  <si>
    <t>Dirección de Planificación Urbana</t>
  </si>
  <si>
    <t>Dirección de O.Municipales</t>
  </si>
  <si>
    <t>Dirección de Servicios Públicos</t>
  </si>
  <si>
    <t>Dirección de O. Privadas</t>
  </si>
  <si>
    <t>Dirección de Higiene Urbana</t>
  </si>
  <si>
    <t>CONTROL TRANSITO</t>
  </si>
  <si>
    <t>DIRECCION DE CATASTRO</t>
  </si>
  <si>
    <t>Jurisdicción</t>
  </si>
  <si>
    <t>SERVICIOS</t>
  </si>
  <si>
    <t>C.GESTION</t>
  </si>
  <si>
    <t>C.SOCIAL</t>
  </si>
  <si>
    <t>1.2.1</t>
  </si>
  <si>
    <t>1.3.1</t>
  </si>
  <si>
    <t>4.1.1.1</t>
  </si>
  <si>
    <t>PERSONAL PERMANENTE</t>
  </si>
  <si>
    <t>1.1.1</t>
  </si>
  <si>
    <t>PERSONAL TEMPORARIO</t>
  </si>
  <si>
    <t>4.1.1.2</t>
  </si>
  <si>
    <t>4.1.2</t>
  </si>
  <si>
    <t>BIENES DE CONSUMO</t>
  </si>
  <si>
    <t>4.1.3</t>
  </si>
  <si>
    <t>5.1.1</t>
  </si>
  <si>
    <t>INTEND.</t>
  </si>
  <si>
    <t>1.2.2</t>
  </si>
  <si>
    <t>1.4.1</t>
  </si>
  <si>
    <t>SECRETARIA DE GOBIERNO</t>
  </si>
  <si>
    <t>2.1.1</t>
  </si>
  <si>
    <t>SECRETARIA</t>
  </si>
  <si>
    <t>DEF. CIVIL</t>
  </si>
  <si>
    <t>RELAC.COM.</t>
  </si>
  <si>
    <t>APERTURA PRESUPUESTARIA POR SUBPARTIDA</t>
  </si>
  <si>
    <t>APERTURA PRESUPUESTARIA  POR SUBPARTIDA</t>
  </si>
  <si>
    <t>DIREC.</t>
  </si>
  <si>
    <t>2.2.1</t>
  </si>
  <si>
    <t>BIENES DE CAPITAL</t>
  </si>
  <si>
    <t>2.3.1</t>
  </si>
  <si>
    <t>2.4.1</t>
  </si>
  <si>
    <t>DIRECCION DE CULTURA</t>
  </si>
  <si>
    <t>2.5.1</t>
  </si>
  <si>
    <t>DIRECCION DE ADMINISTRACION</t>
  </si>
  <si>
    <t>2.6.1</t>
  </si>
  <si>
    <t>DIRECCION DE VIVIENDA</t>
  </si>
  <si>
    <t>SECRETARIA DE HACIENDA</t>
  </si>
  <si>
    <t>SECRET.</t>
  </si>
  <si>
    <t>AUDIT</t>
  </si>
  <si>
    <t>TESORERIA</t>
  </si>
  <si>
    <t>3.1.1</t>
  </si>
  <si>
    <t>3.2.1</t>
  </si>
  <si>
    <t>3.3.1</t>
  </si>
  <si>
    <t>3.4.1</t>
  </si>
  <si>
    <t>3.6.1</t>
  </si>
  <si>
    <t>3.7.1</t>
  </si>
  <si>
    <t>3.5.1</t>
  </si>
  <si>
    <t>4.1.1</t>
  </si>
  <si>
    <t>SECRETARIA DE OBRAS, MED. AMBIENTE, O. Y S.PUBLICOS</t>
  </si>
  <si>
    <t>O.CIVILES</t>
  </si>
  <si>
    <t>O.VIALES</t>
  </si>
  <si>
    <t>ELECTRIC.</t>
  </si>
  <si>
    <t>4.2.1</t>
  </si>
  <si>
    <t>4.2.2</t>
  </si>
  <si>
    <t>4.2.3</t>
  </si>
  <si>
    <t>DIRECCION DE OBRAS MUNICIPALES</t>
  </si>
  <si>
    <t>4.2.4</t>
  </si>
  <si>
    <t>DIRECCION DE PLANIFICACION URBANA</t>
  </si>
  <si>
    <t>4.3.1</t>
  </si>
  <si>
    <t>DIRECCION DE SERVICIOS PUBLICOS</t>
  </si>
  <si>
    <t>MAN.PROD.</t>
  </si>
  <si>
    <t>FORESTAC.</t>
  </si>
  <si>
    <t>4.4.1</t>
  </si>
  <si>
    <t>4.4.2</t>
  </si>
  <si>
    <t>4.4.3</t>
  </si>
  <si>
    <t>4.4.5</t>
  </si>
  <si>
    <t>4.5.1</t>
  </si>
  <si>
    <t>DIRECCION DE HIGIENE URBANA</t>
  </si>
  <si>
    <t>RECOLEC.</t>
  </si>
  <si>
    <t>4.6.2</t>
  </si>
  <si>
    <t>H.URBANA</t>
  </si>
  <si>
    <t>4.4.6</t>
  </si>
  <si>
    <t>TRANSP.</t>
  </si>
  <si>
    <t>4.6.1</t>
  </si>
  <si>
    <t>4.6.3</t>
  </si>
  <si>
    <t xml:space="preserve">     Amortizacion de la Deuda Consolidada</t>
  </si>
  <si>
    <t xml:space="preserve">     Amortizacion de la Deuda Flotante</t>
  </si>
  <si>
    <t>O.y S.PÚBLICOS</t>
  </si>
  <si>
    <t>Unidad de Calidad Ambiental</t>
  </si>
  <si>
    <t>Multas por Infracciones de Tránsito</t>
  </si>
  <si>
    <t>Actas Circunstanciadas</t>
  </si>
  <si>
    <t>Obras de Pavimentación</t>
  </si>
  <si>
    <t>Aportes Vecinal para Obras Reembolsables</t>
  </si>
  <si>
    <t>Roturas Pavimento - O.S.Mza</t>
  </si>
  <si>
    <t>Contribución de Mejoras</t>
  </si>
  <si>
    <t>Ejercicios Anteriores</t>
  </si>
  <si>
    <t>De Inspección Sanitaria</t>
  </si>
  <si>
    <t>De Higiene Urbana</t>
  </si>
  <si>
    <t>ORIG.</t>
  </si>
  <si>
    <t>Control de Animales</t>
  </si>
  <si>
    <t>001</t>
  </si>
  <si>
    <t>002</t>
  </si>
  <si>
    <t>003</t>
  </si>
  <si>
    <t>004</t>
  </si>
  <si>
    <t>005</t>
  </si>
  <si>
    <t>006</t>
  </si>
  <si>
    <t>007</t>
  </si>
  <si>
    <t>2</t>
  </si>
  <si>
    <t>Aporte del Tesoro Nacional (A.T.N.)</t>
  </si>
  <si>
    <t>Erradicación de Forestales</t>
  </si>
  <si>
    <t>Servicios Especiales Varios</t>
  </si>
  <si>
    <t>Seguridad Social</t>
  </si>
  <si>
    <t>FINAL / FUNC.</t>
  </si>
  <si>
    <t>Bienes</t>
  </si>
  <si>
    <t>Consumo</t>
  </si>
  <si>
    <t>Int y Gtos.</t>
  </si>
  <si>
    <t>Deuda</t>
  </si>
  <si>
    <t>Trans.</t>
  </si>
  <si>
    <t>Ctes.</t>
  </si>
  <si>
    <t>Capital</t>
  </si>
  <si>
    <t>Trab.</t>
  </si>
  <si>
    <t>Públicos</t>
  </si>
  <si>
    <t>Amort</t>
  </si>
  <si>
    <t>CLASIFICACION POR FINALIDAD, FUNCION, ECONOMICA Y POR OBJETO DEL GASTO</t>
  </si>
  <si>
    <t>SECRETARIO DEL CUERPO</t>
  </si>
  <si>
    <t>FUEROS ADMINISTRATIVOS DE TRÁNSITO</t>
  </si>
  <si>
    <t>Impuestos sobre los Ingresos Brutos</t>
  </si>
  <si>
    <t>Impuestos a los Automotores</t>
  </si>
  <si>
    <t>Impuestos a los Sellos</t>
  </si>
  <si>
    <t>Fondos para Desarrollo Social</t>
  </si>
  <si>
    <t>FIDES - Emergencia Social</t>
  </si>
  <si>
    <t>FIDES - Fortalecimiento Institucional</t>
  </si>
  <si>
    <t>DINAADYF- CDI Guarderías</t>
  </si>
  <si>
    <t>PROMIN</t>
  </si>
  <si>
    <t>Fundación Arcor</t>
  </si>
  <si>
    <t>008</t>
  </si>
  <si>
    <t>DINAADYF- Programa Proy. Integración Familias</t>
  </si>
  <si>
    <t>009</t>
  </si>
  <si>
    <t>DINAADYF- Prog, Prot. Derechos Niños y Adolescentes</t>
  </si>
  <si>
    <t>010</t>
  </si>
  <si>
    <t>FIDES - Prog.Promoción Derechos de la Familia</t>
  </si>
  <si>
    <t>Fondos para Desarrollo Cultural</t>
  </si>
  <si>
    <t>MAOP- Remodelación Centros Recreativos</t>
  </si>
  <si>
    <t>Convenio Trámites Vía Internet</t>
  </si>
  <si>
    <t>OTROS INGRESOS DE JURISDICCION NACIONAL</t>
  </si>
  <si>
    <t xml:space="preserve">Derechos por Servicios a la Propiedad Raíz </t>
  </si>
  <si>
    <t>Derechos por Servicios a la Propiedad Raíz( Ejercicio Corriente)</t>
  </si>
  <si>
    <t>Derechos por Servicios a la Propiedad Raíz( Ejercicios Anteriores)</t>
  </si>
  <si>
    <t>Derechos de Inspección Comercio Ind.y Servicios</t>
  </si>
  <si>
    <t>Derechos de Inspección Comercio Ind.y Servicios( Ejercicios Anteriores)</t>
  </si>
  <si>
    <t>Derechos de Cementerio(Ejercicio Corriente)</t>
  </si>
  <si>
    <t>Concesión Publicidad Sarmiento</t>
  </si>
  <si>
    <t>Derechos de Insp. Sanitaria Higiene Urbana y Saneamiento Ambiental</t>
  </si>
  <si>
    <t>15</t>
  </si>
  <si>
    <t>Comisión Administrativa</t>
  </si>
  <si>
    <t>Multas Generales (Ejercicio Corriente)</t>
  </si>
  <si>
    <t>Intereses y Recargos</t>
  </si>
  <si>
    <t>Intereses y Recargos(Ejercicio Corriente)</t>
  </si>
  <si>
    <t>Intereses y Recargos(Ejercicios Anteriores)</t>
  </si>
  <si>
    <t>Venta de Pliegos Municipales</t>
  </si>
  <si>
    <t>Venta de Pliegos Vivienda</t>
  </si>
  <si>
    <t xml:space="preserve">                                                 ORDENANZA Nº 5531/07</t>
  </si>
  <si>
    <t xml:space="preserve">                                                ORDENANZA Nº 5531/07</t>
  </si>
  <si>
    <t xml:space="preserve">                                               ORDENANZA Nº 5531/07</t>
  </si>
  <si>
    <t xml:space="preserve">                 ORDENANZA Nº 5531/07</t>
  </si>
  <si>
    <t xml:space="preserve">                    DENANZA Nº 5531/07</t>
  </si>
  <si>
    <t>Pliego Vivienda Complejo Hab. Anzorena</t>
  </si>
  <si>
    <t>Producido de Actividades Culturales</t>
  </si>
  <si>
    <t>Producido de Actividades Turísticas</t>
  </si>
  <si>
    <t>Producido de Servicios Especiales</t>
  </si>
  <si>
    <t>Desinfecciones en General</t>
  </si>
  <si>
    <t>Producido de Multas de Tránsito</t>
  </si>
  <si>
    <t>Multa por Accidentes Viales</t>
  </si>
  <si>
    <t>Comisión Administrativa por Infracciones de Tránsito</t>
  </si>
  <si>
    <t>Producido de Convenios Especiales</t>
  </si>
  <si>
    <t>Conv.Coop.Elect.de Godoy Cruz- Alumbrado Público</t>
  </si>
  <si>
    <t>Conv con EDMSA - Alumbrado Público</t>
  </si>
  <si>
    <t>Ingresos Operativos I.P.V.</t>
  </si>
  <si>
    <t>Gastos Recuperados</t>
  </si>
  <si>
    <t>Reintegros de A.R.T.</t>
  </si>
  <si>
    <t>Actualización FFCC</t>
  </si>
  <si>
    <t>Venta de Bienes de Uso</t>
  </si>
  <si>
    <t>Obras de Pavimentación (Ejercicio Corriente)</t>
  </si>
  <si>
    <t>Obras de Pavimentación (Ejercicios Anteriores)</t>
  </si>
  <si>
    <t>Venta de Terrenos</t>
  </si>
  <si>
    <t>Obras de Cloacas (Ejercicio Corriente)</t>
  </si>
  <si>
    <t>Obras de Cloacas (Ejercicios Anteriores)</t>
  </si>
  <si>
    <t>Red de Agua Potable y Cloacas (Ejercicio Corriente)</t>
  </si>
  <si>
    <t>Red de Agua Potable y Cloacas (Ejercicios Anteriores)</t>
  </si>
  <si>
    <t>Alumbrado Público (Ejercicio Corriente)</t>
  </si>
  <si>
    <t>Alumbrado Público (Ejercicios Anteriores)</t>
  </si>
  <si>
    <t>Red Gas Natural (Ejercicio Corriente)</t>
  </si>
  <si>
    <t>Red Gas Natural (Ejercicios Anteriores)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</si>
</sst>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$&quot;* #,##0_);_(&quot;$&quot;* \(#,##0\);_(&quot;$&quot;* &quot;-&quot;??_);_(@_)"/>
    <numFmt numFmtId="181" formatCode="_(* #,##0_);_(* \(#,##0\);_(* &quot;-&quot;??_);_(@_)"/>
    <numFmt numFmtId="182" formatCode="_ * #,##0.000_ ;_ * \-#,##0.000_ ;_ * &quot;-&quot;??_ ;_ @_ "/>
    <numFmt numFmtId="183" formatCode="_ * #,##0_ ;_ * \-#,##0_ ;_ * &quot;-&quot;??_ ;_ @_ "/>
    <numFmt numFmtId="184" formatCode="[$$-2C0A]\ #,##0.00"/>
    <numFmt numFmtId="185" formatCode="&quot;$&quot;\ #,##0.00"/>
    <numFmt numFmtId="186" formatCode="[$$ ]\ #,##0.00;[Red][$$ ]\-#,##0.00"/>
    <numFmt numFmtId="187" formatCode="[$$-2C0A]\ #,##0.00;[$$-2C0A]\ \-#,##0.00"/>
    <numFmt numFmtId="188" formatCode="[$$-2C0A]#,##0.00;[Red]\-[$$-2C0A]#,##0.00"/>
    <numFmt numFmtId="189" formatCode="[$$-2C0A]\ #,##0.00;[Red][$$-2C0A]\ \-#,##0.00"/>
    <numFmt numFmtId="190" formatCode="0.0000%"/>
    <numFmt numFmtId="191" formatCode="0.0%"/>
    <numFmt numFmtId="192" formatCode="&quot;$&quot;\ #,##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#,##0.0"/>
    <numFmt numFmtId="197" formatCode="#,##0.000"/>
    <numFmt numFmtId="198" formatCode="0.0000"/>
    <numFmt numFmtId="199" formatCode="0.000"/>
    <numFmt numFmtId="200" formatCode="#,##0.0000"/>
    <numFmt numFmtId="201" formatCode="###,###,##0"/>
    <numFmt numFmtId="202" formatCode="00000"/>
    <numFmt numFmtId="203" formatCode="&quot;$&quot;\ #,##0.00;[Red]&quot;$&quot;\ #,##0.00"/>
    <numFmt numFmtId="204" formatCode="#,##0.00;[Red]#,##0.00"/>
    <numFmt numFmtId="205" formatCode="_(&quot;$&quot;* #,##0.0_);_(&quot;$&quot;* \(#,##0.0\);_(&quot;$&quot;* &quot;-&quot;??_);_(@_)"/>
    <numFmt numFmtId="206" formatCode="_-* #,##0.00\ _$_-;\-* #,##0.00\ _$_-;_-* &quot;-&quot;??\ _$_-;_-@_-"/>
  </numFmts>
  <fonts count="91">
    <font>
      <sz val="10"/>
      <name val="Arial"/>
      <family val="0"/>
    </font>
    <font>
      <b/>
      <sz val="10"/>
      <name val="Lucida Casual"/>
      <family val="4"/>
    </font>
    <font>
      <sz val="10"/>
      <color indexed="10"/>
      <name val="Lucida Casual"/>
      <family val="4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Tahoma"/>
      <family val="0"/>
    </font>
    <font>
      <sz val="10"/>
      <name val="Courier"/>
      <family val="3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1"/>
      <name val="Arial"/>
      <family val="2"/>
    </font>
    <font>
      <b/>
      <sz val="26"/>
      <color indexed="10"/>
      <name val="Helvetica"/>
      <family val="2"/>
    </font>
    <font>
      <sz val="10"/>
      <color indexed="8"/>
      <name val="Helvetica"/>
      <family val="2"/>
    </font>
    <font>
      <b/>
      <i/>
      <sz val="14"/>
      <color indexed="8"/>
      <name val="Helvetica"/>
      <family val="2"/>
    </font>
    <font>
      <b/>
      <sz val="10"/>
      <color indexed="8"/>
      <name val="Helvetica"/>
      <family val="2"/>
    </font>
    <font>
      <b/>
      <sz val="16"/>
      <color indexed="8"/>
      <name val="Goudy Old Style Extrabold"/>
      <family val="1"/>
    </font>
    <font>
      <b/>
      <sz val="12"/>
      <color indexed="8"/>
      <name val="AvantGarde"/>
      <family val="2"/>
    </font>
    <font>
      <b/>
      <sz val="12"/>
      <color indexed="8"/>
      <name val="Trebuchet MS"/>
      <family val="2"/>
    </font>
    <font>
      <b/>
      <sz val="14"/>
      <color indexed="8"/>
      <name val="Trebuchet MS"/>
      <family val="2"/>
    </font>
    <font>
      <b/>
      <sz val="8"/>
      <color indexed="8"/>
      <name val="Palatino"/>
      <family val="1"/>
    </font>
    <font>
      <b/>
      <i/>
      <u val="single"/>
      <sz val="16"/>
      <color indexed="8"/>
      <name val="Swis721 Ex BT"/>
      <family val="0"/>
    </font>
    <font>
      <b/>
      <i/>
      <sz val="12"/>
      <color indexed="8"/>
      <name val="Helvetica"/>
      <family val="0"/>
    </font>
    <font>
      <b/>
      <i/>
      <sz val="16"/>
      <color indexed="8"/>
      <name val="Metrostyle Extended"/>
      <family val="2"/>
    </font>
    <font>
      <sz val="16"/>
      <name val="Arial"/>
      <family val="0"/>
    </font>
    <font>
      <sz val="10"/>
      <name val="Helvetica"/>
      <family val="2"/>
    </font>
    <font>
      <sz val="10"/>
      <color indexed="8"/>
      <name val="Arial"/>
      <family val="2"/>
    </font>
    <font>
      <sz val="6"/>
      <color indexed="8"/>
      <name val="Helvetica"/>
      <family val="2"/>
    </font>
    <font>
      <sz val="8"/>
      <color indexed="8"/>
      <name val="Helvetica"/>
      <family val="2"/>
    </font>
    <font>
      <b/>
      <sz val="12"/>
      <color indexed="10"/>
      <name val="Trebuchet MS"/>
      <family val="2"/>
    </font>
    <font>
      <b/>
      <i/>
      <sz val="18"/>
      <color indexed="8"/>
      <name val="Swis721 Ex BT"/>
      <family val="2"/>
    </font>
    <font>
      <sz val="16"/>
      <color indexed="8"/>
      <name val="Goudy Old Style Extrabold"/>
      <family val="1"/>
    </font>
    <font>
      <b/>
      <sz val="10"/>
      <color indexed="10"/>
      <name val="Arial"/>
      <family val="2"/>
    </font>
    <font>
      <sz val="24"/>
      <color indexed="10"/>
      <name val="Helvetica"/>
      <family val="2"/>
    </font>
    <font>
      <i/>
      <sz val="10"/>
      <name val="Arial"/>
      <family val="0"/>
    </font>
    <font>
      <b/>
      <sz val="20"/>
      <color indexed="8"/>
      <name val="Goudy Old Style Extrabold"/>
      <family val="1"/>
    </font>
    <font>
      <sz val="20"/>
      <name val="Arial"/>
      <family val="0"/>
    </font>
    <font>
      <b/>
      <sz val="20"/>
      <name val="Arial"/>
      <family val="0"/>
    </font>
    <font>
      <b/>
      <sz val="10"/>
      <name val="Helvetica"/>
      <family val="2"/>
    </font>
    <font>
      <b/>
      <sz val="12"/>
      <name val="Trebuchet MS"/>
      <family val="2"/>
    </font>
    <font>
      <b/>
      <i/>
      <sz val="18"/>
      <name val="Swis721 Ex BT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vertAlign val="superscript"/>
      <sz val="12"/>
      <name val="Arial"/>
      <family val="2"/>
    </font>
    <font>
      <b/>
      <sz val="9"/>
      <color indexed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9"/>
        <bgColor indexed="9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thin"/>
      <bottom style="thin"/>
    </border>
    <border>
      <left style="medium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/>
      <right style="thin"/>
      <top style="medium">
        <color indexed="23"/>
      </top>
      <bottom style="thin"/>
    </border>
    <border>
      <left style="medium">
        <color indexed="23"/>
      </left>
      <right style="thin"/>
      <top style="medium">
        <color indexed="23"/>
      </top>
      <bottom style="thin"/>
    </border>
    <border>
      <left style="thin"/>
      <right style="medium">
        <color indexed="23"/>
      </right>
      <top style="medium">
        <color indexed="23"/>
      </top>
      <bottom style="thin"/>
    </border>
    <border>
      <left style="medium">
        <color indexed="23"/>
      </left>
      <right style="thin"/>
      <top style="thin"/>
      <bottom style="thin"/>
    </border>
    <border>
      <left style="thin"/>
      <right style="medium">
        <color indexed="23"/>
      </right>
      <top style="thin"/>
      <bottom style="thin"/>
    </border>
    <border>
      <left style="medium">
        <color indexed="23"/>
      </left>
      <right style="thin"/>
      <top style="thin"/>
      <bottom style="medium">
        <color indexed="23"/>
      </bottom>
    </border>
    <border>
      <left style="thin"/>
      <right style="thin"/>
      <top style="thin"/>
      <bottom style="medium">
        <color indexed="23"/>
      </bottom>
    </border>
    <border>
      <left style="thin"/>
      <right style="medium">
        <color indexed="23"/>
      </right>
      <top style="thin"/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/>
      <bottom style="thin"/>
    </border>
    <border>
      <left style="medium">
        <color indexed="23"/>
      </left>
      <right style="medium">
        <color indexed="23"/>
      </right>
      <top style="thin"/>
      <bottom>
        <color indexed="63"/>
      </bottom>
    </border>
    <border>
      <left style="medium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/>
      <top style="thin">
        <color indexed="2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/>
    </border>
    <border>
      <left style="medium">
        <color indexed="2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thick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ck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6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1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4" fillId="21" borderId="5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0" fillId="0" borderId="8" applyNumberFormat="0" applyFill="0" applyAlignment="0" applyProtection="0"/>
    <xf numFmtId="0" fontId="90" fillId="0" borderId="9" applyNumberFormat="0" applyFill="0" applyAlignment="0" applyProtection="0"/>
  </cellStyleXfs>
  <cellXfs count="884">
    <xf numFmtId="49" fontId="0" fillId="0" borderId="0" xfId="0" applyAlignment="1">
      <alignment/>
    </xf>
    <xf numFmtId="3" fontId="0" fillId="0" borderId="0" xfId="0" applyNumberFormat="1" applyAlignment="1">
      <alignment/>
    </xf>
    <xf numFmtId="179" fontId="0" fillId="0" borderId="0" xfId="48" applyFont="1" applyAlignment="1">
      <alignment/>
    </xf>
    <xf numFmtId="181" fontId="1" fillId="0" borderId="0" xfId="48" applyNumberFormat="1" applyFont="1" applyAlignment="1">
      <alignment/>
    </xf>
    <xf numFmtId="181" fontId="2" fillId="0" borderId="0" xfId="48" applyNumberFormat="1" applyFont="1" applyAlignment="1">
      <alignment/>
    </xf>
    <xf numFmtId="181" fontId="0" fillId="0" borderId="0" xfId="48" applyNumberFormat="1" applyFont="1" applyAlignment="1">
      <alignment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49" fontId="2" fillId="0" borderId="0" xfId="0" applyFont="1" applyAlignment="1">
      <alignment/>
    </xf>
    <xf numFmtId="3" fontId="0" fillId="0" borderId="0" xfId="0" applyNumberFormat="1" applyFont="1" applyAlignment="1">
      <alignment/>
    </xf>
    <xf numFmtId="49" fontId="6" fillId="0" borderId="0" xfId="0" applyFont="1" applyFill="1" applyBorder="1" applyAlignment="1">
      <alignment/>
    </xf>
    <xf numFmtId="49" fontId="0" fillId="0" borderId="0" xfId="0" applyFill="1" applyAlignment="1">
      <alignment/>
    </xf>
    <xf numFmtId="49" fontId="8" fillId="0" borderId="0" xfId="0" applyFont="1" applyAlignment="1">
      <alignment/>
    </xf>
    <xf numFmtId="49" fontId="0" fillId="0" borderId="0" xfId="0" applyFont="1" applyAlignment="1">
      <alignment/>
    </xf>
    <xf numFmtId="49" fontId="4" fillId="0" borderId="0" xfId="0" applyFont="1" applyAlignment="1">
      <alignment horizontal="center"/>
    </xf>
    <xf numFmtId="49" fontId="0" fillId="0" borderId="0" xfId="0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Font="1" applyFill="1" applyBorder="1" applyAlignment="1" applyProtection="1">
      <alignment/>
      <protection locked="0"/>
    </xf>
    <xf numFmtId="49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49" fontId="4" fillId="0" borderId="10" xfId="0" applyFont="1" applyFill="1" applyBorder="1" applyAlignment="1">
      <alignment horizontal="center"/>
    </xf>
    <xf numFmtId="10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49" fontId="4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49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1" xfId="0" applyFont="1" applyBorder="1" applyAlignment="1">
      <alignment horizontal="center"/>
    </xf>
    <xf numFmtId="49" fontId="4" fillId="0" borderId="0" xfId="0" applyFont="1" applyBorder="1" applyAlignment="1">
      <alignment horizontal="center"/>
    </xf>
    <xf numFmtId="49" fontId="4" fillId="0" borderId="12" xfId="0" applyFont="1" applyBorder="1" applyAlignment="1">
      <alignment horizontal="center"/>
    </xf>
    <xf numFmtId="49" fontId="4" fillId="0" borderId="0" xfId="0" applyFont="1" applyAlignment="1">
      <alignment/>
    </xf>
    <xf numFmtId="179" fontId="4" fillId="0" borderId="0" xfId="48" applyFont="1" applyAlignment="1">
      <alignment/>
    </xf>
    <xf numFmtId="179" fontId="4" fillId="0" borderId="0" xfId="48" applyFont="1" applyAlignment="1">
      <alignment/>
    </xf>
    <xf numFmtId="3" fontId="4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3" xfId="0" applyFont="1" applyBorder="1" applyAlignment="1">
      <alignment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0" fillId="0" borderId="0" xfId="0" applyFont="1" applyAlignment="1">
      <alignment/>
    </xf>
    <xf numFmtId="4" fontId="5" fillId="0" borderId="0" xfId="0" applyNumberFormat="1" applyFont="1" applyFill="1" applyAlignment="1">
      <alignment horizontal="center"/>
    </xf>
    <xf numFmtId="49" fontId="4" fillId="0" borderId="0" xfId="0" applyFont="1" applyFill="1" applyAlignment="1">
      <alignment horizontal="center"/>
    </xf>
    <xf numFmtId="49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9" fontId="4" fillId="0" borderId="0" xfId="0" applyFont="1" applyAlignment="1">
      <alignment horizontal="left"/>
    </xf>
    <xf numFmtId="49" fontId="10" fillId="0" borderId="0" xfId="0" applyFont="1" applyAlignment="1">
      <alignment/>
    </xf>
    <xf numFmtId="49" fontId="0" fillId="0" borderId="0" xfId="0" applyFont="1" applyAlignment="1">
      <alignment horizontal="center"/>
    </xf>
    <xf numFmtId="49" fontId="5" fillId="0" borderId="13" xfId="0" applyFont="1" applyBorder="1" applyAlignment="1">
      <alignment horizontal="center"/>
    </xf>
    <xf numFmtId="49" fontId="9" fillId="0" borderId="0" xfId="0" applyFont="1" applyAlignment="1">
      <alignment/>
    </xf>
    <xf numFmtId="10" fontId="4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49" fontId="4" fillId="0" borderId="13" xfId="0" applyFont="1" applyBorder="1" applyAlignment="1">
      <alignment horizontal="center"/>
    </xf>
    <xf numFmtId="49" fontId="0" fillId="0" borderId="11" xfId="0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3" xfId="0" applyFont="1" applyBorder="1" applyAlignment="1">
      <alignment horizontal="center"/>
    </xf>
    <xf numFmtId="49" fontId="12" fillId="0" borderId="0" xfId="0" applyFont="1" applyAlignment="1">
      <alignment/>
    </xf>
    <xf numFmtId="49" fontId="8" fillId="0" borderId="0" xfId="0" applyFont="1" applyAlignment="1">
      <alignment/>
    </xf>
    <xf numFmtId="49" fontId="7" fillId="0" borderId="0" xfId="0" applyFont="1" applyAlignment="1">
      <alignment/>
    </xf>
    <xf numFmtId="9" fontId="0" fillId="0" borderId="0" xfId="57" applyFont="1" applyAlignment="1">
      <alignment/>
    </xf>
    <xf numFmtId="4" fontId="7" fillId="0" borderId="0" xfId="0" applyNumberFormat="1" applyFont="1" applyFill="1" applyBorder="1" applyAlignment="1">
      <alignment horizontal="center"/>
    </xf>
    <xf numFmtId="49" fontId="0" fillId="0" borderId="0" xfId="0" applyFont="1" applyAlignment="1">
      <alignment horizontal="left"/>
    </xf>
    <xf numFmtId="179" fontId="0" fillId="0" borderId="0" xfId="48" applyFont="1" applyAlignment="1">
      <alignment/>
    </xf>
    <xf numFmtId="49" fontId="12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49" fontId="7" fillId="0" borderId="0" xfId="0" applyFont="1" applyAlignment="1">
      <alignment horizontal="center"/>
    </xf>
    <xf numFmtId="49" fontId="0" fillId="0" borderId="0" xfId="0" applyFont="1" applyBorder="1" applyAlignment="1">
      <alignment horizontal="center"/>
    </xf>
    <xf numFmtId="49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9" fontId="4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78" fontId="0" fillId="0" borderId="0" xfId="50" applyFont="1" applyAlignment="1">
      <alignment/>
    </xf>
    <xf numFmtId="49" fontId="0" fillId="0" borderId="0" xfId="0" applyFont="1" applyFill="1" applyBorder="1" applyAlignment="1">
      <alignment horizontal="left"/>
    </xf>
    <xf numFmtId="49" fontId="0" fillId="0" borderId="0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10" fillId="0" borderId="0" xfId="53" applyFont="1">
      <alignment/>
      <protection/>
    </xf>
    <xf numFmtId="185" fontId="4" fillId="0" borderId="0" xfId="53" applyNumberFormat="1" applyFont="1" applyAlignment="1">
      <alignment horizontal="right"/>
      <protection/>
    </xf>
    <xf numFmtId="0" fontId="7" fillId="0" borderId="0" xfId="53" applyFont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vertical="center"/>
      <protection/>
    </xf>
    <xf numFmtId="0" fontId="6" fillId="0" borderId="0" xfId="53" applyFont="1" applyBorder="1">
      <alignment/>
      <protection/>
    </xf>
    <xf numFmtId="3" fontId="6" fillId="0" borderId="0" xfId="53" applyNumberFormat="1" applyFont="1">
      <alignment/>
      <protection/>
    </xf>
    <xf numFmtId="0" fontId="6" fillId="0" borderId="0" xfId="53" applyFont="1" applyAlignment="1">
      <alignment horizontal="center"/>
      <protection/>
    </xf>
    <xf numFmtId="49" fontId="0" fillId="0" borderId="0" xfId="0" applyNumberFormat="1" applyFont="1" applyFill="1" applyBorder="1" applyAlignment="1">
      <alignment horizontal="left"/>
    </xf>
    <xf numFmtId="49" fontId="5" fillId="0" borderId="0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Alignment="1">
      <alignment/>
    </xf>
    <xf numFmtId="9" fontId="4" fillId="0" borderId="0" xfId="57" applyFont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178" fontId="0" fillId="0" borderId="0" xfId="50" applyFont="1" applyFill="1" applyAlignment="1">
      <alignment/>
    </xf>
    <xf numFmtId="10" fontId="8" fillId="0" borderId="0" xfId="57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49" fontId="11" fillId="0" borderId="0" xfId="0" applyFont="1" applyAlignment="1">
      <alignment horizontal="center"/>
    </xf>
    <xf numFmtId="49" fontId="19" fillId="33" borderId="0" xfId="0" applyFont="1" applyFill="1" applyAlignment="1">
      <alignment/>
    </xf>
    <xf numFmtId="49" fontId="20" fillId="33" borderId="0" xfId="0" applyFont="1" applyFill="1" applyAlignment="1">
      <alignment/>
    </xf>
    <xf numFmtId="178" fontId="20" fillId="33" borderId="0" xfId="50" applyFont="1" applyFill="1" applyAlignment="1">
      <alignment/>
    </xf>
    <xf numFmtId="49" fontId="0" fillId="33" borderId="0" xfId="0" applyFill="1" applyAlignment="1">
      <alignment/>
    </xf>
    <xf numFmtId="178" fontId="20" fillId="33" borderId="14" xfId="50" applyFont="1" applyFill="1" applyBorder="1" applyAlignment="1">
      <alignment horizontal="center"/>
    </xf>
    <xf numFmtId="178" fontId="20" fillId="33" borderId="15" xfId="50" applyFont="1" applyFill="1" applyBorder="1" applyAlignment="1">
      <alignment horizontal="center"/>
    </xf>
    <xf numFmtId="178" fontId="20" fillId="33" borderId="16" xfId="50" applyFont="1" applyFill="1" applyBorder="1" applyAlignment="1">
      <alignment horizontal="center"/>
    </xf>
    <xf numFmtId="178" fontId="20" fillId="33" borderId="17" xfId="50" applyFont="1" applyFill="1" applyBorder="1" applyAlignment="1">
      <alignment horizontal="center"/>
    </xf>
    <xf numFmtId="178" fontId="20" fillId="33" borderId="18" xfId="50" applyFont="1" applyFill="1" applyBorder="1" applyAlignment="1">
      <alignment horizontal="center"/>
    </xf>
    <xf numFmtId="178" fontId="20" fillId="33" borderId="19" xfId="50" applyFont="1" applyFill="1" applyBorder="1" applyAlignment="1">
      <alignment horizontal="center"/>
    </xf>
    <xf numFmtId="49" fontId="23" fillId="33" borderId="20" xfId="0" applyFont="1" applyFill="1" applyBorder="1" applyAlignment="1">
      <alignment/>
    </xf>
    <xf numFmtId="49" fontId="24" fillId="33" borderId="21" xfId="0" applyFont="1" applyFill="1" applyBorder="1" applyAlignment="1">
      <alignment/>
    </xf>
    <xf numFmtId="49" fontId="24" fillId="33" borderId="22" xfId="0" applyFont="1" applyFill="1" applyBorder="1" applyAlignment="1">
      <alignment/>
    </xf>
    <xf numFmtId="49" fontId="24" fillId="33" borderId="23" xfId="0" applyFont="1" applyFill="1" applyBorder="1" applyAlignment="1">
      <alignment/>
    </xf>
    <xf numFmtId="49" fontId="20" fillId="33" borderId="24" xfId="0" applyFont="1" applyFill="1" applyBorder="1" applyAlignment="1">
      <alignment/>
    </xf>
    <xf numFmtId="49" fontId="20" fillId="33" borderId="25" xfId="0" applyFont="1" applyFill="1" applyBorder="1" applyAlignment="1">
      <alignment/>
    </xf>
    <xf numFmtId="49" fontId="0" fillId="0" borderId="0" xfId="0" applyAlignment="1">
      <alignment wrapText="1"/>
    </xf>
    <xf numFmtId="49" fontId="0" fillId="33" borderId="0" xfId="0" applyFill="1" applyBorder="1" applyAlignment="1">
      <alignment wrapText="1"/>
    </xf>
    <xf numFmtId="49" fontId="27" fillId="33" borderId="0" xfId="0" applyFont="1" applyFill="1" applyAlignment="1">
      <alignment/>
    </xf>
    <xf numFmtId="178" fontId="0" fillId="33" borderId="0" xfId="50" applyFont="1" applyFill="1" applyBorder="1" applyAlignment="1" applyProtection="1">
      <alignment horizontal="center"/>
      <protection locked="0"/>
    </xf>
    <xf numFmtId="178" fontId="0" fillId="33" borderId="0" xfId="50" applyFont="1" applyFill="1" applyAlignment="1">
      <alignment/>
    </xf>
    <xf numFmtId="178" fontId="12" fillId="33" borderId="0" xfId="50" applyFont="1" applyFill="1" applyAlignment="1">
      <alignment/>
    </xf>
    <xf numFmtId="49" fontId="28" fillId="33" borderId="0" xfId="0" applyFont="1" applyFill="1" applyAlignment="1">
      <alignment/>
    </xf>
    <xf numFmtId="49" fontId="29" fillId="33" borderId="26" xfId="0" applyFont="1" applyFill="1" applyBorder="1" applyAlignment="1">
      <alignment/>
    </xf>
    <xf numFmtId="49" fontId="29" fillId="33" borderId="27" xfId="0" applyFont="1" applyFill="1" applyBorder="1" applyAlignment="1">
      <alignment/>
    </xf>
    <xf numFmtId="49" fontId="20" fillId="33" borderId="0" xfId="0" applyFont="1" applyFill="1" applyBorder="1" applyAlignment="1">
      <alignment/>
    </xf>
    <xf numFmtId="49" fontId="27" fillId="33" borderId="28" xfId="0" applyFont="1" applyFill="1" applyBorder="1" applyAlignment="1">
      <alignment horizontal="center" vertical="top"/>
    </xf>
    <xf numFmtId="49" fontId="33" fillId="33" borderId="0" xfId="0" applyFont="1" applyFill="1" applyBorder="1" applyAlignment="1">
      <alignment vertical="center"/>
    </xf>
    <xf numFmtId="49" fontId="33" fillId="33" borderId="0" xfId="0" applyFont="1" applyFill="1" applyBorder="1" applyAlignment="1">
      <alignment horizontal="center" vertical="center"/>
    </xf>
    <xf numFmtId="49" fontId="34" fillId="33" borderId="0" xfId="0" applyFont="1" applyFill="1" applyBorder="1" applyAlignment="1">
      <alignment vertical="center"/>
    </xf>
    <xf numFmtId="49" fontId="20" fillId="33" borderId="0" xfId="0" applyFont="1" applyFill="1" applyBorder="1" applyAlignment="1">
      <alignment vertical="center"/>
    </xf>
    <xf numFmtId="49" fontId="20" fillId="33" borderId="0" xfId="0" applyFont="1" applyFill="1" applyAlignment="1">
      <alignment vertical="center"/>
    </xf>
    <xf numFmtId="49" fontId="0" fillId="33" borderId="0" xfId="0" applyFill="1" applyAlignment="1">
      <alignment vertical="center"/>
    </xf>
    <xf numFmtId="49" fontId="0" fillId="33" borderId="0" xfId="0" applyFill="1" applyBorder="1" applyAlignment="1">
      <alignment vertical="center"/>
    </xf>
    <xf numFmtId="49" fontId="27" fillId="33" borderId="28" xfId="0" applyFont="1" applyFill="1" applyBorder="1" applyAlignment="1">
      <alignment horizontal="center" vertical="center"/>
    </xf>
    <xf numFmtId="49" fontId="9" fillId="0" borderId="0" xfId="0" applyFont="1" applyAlignment="1">
      <alignment/>
    </xf>
    <xf numFmtId="49" fontId="12" fillId="0" borderId="0" xfId="0" applyFont="1" applyAlignment="1">
      <alignment/>
    </xf>
    <xf numFmtId="0" fontId="10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ill="1" applyAlignment="1">
      <alignment/>
    </xf>
    <xf numFmtId="185" fontId="4" fillId="0" borderId="0" xfId="0" applyNumberFormat="1" applyFont="1" applyFill="1" applyAlignment="1">
      <alignment/>
    </xf>
    <xf numFmtId="185" fontId="0" fillId="0" borderId="29" xfId="0" applyNumberFormat="1" applyFill="1" applyBorder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4" fillId="34" borderId="13" xfId="0" applyNumberFormat="1" applyFont="1" applyFill="1" applyBorder="1" applyAlignment="1">
      <alignment/>
    </xf>
    <xf numFmtId="4" fontId="5" fillId="34" borderId="0" xfId="0" applyNumberFormat="1" applyFont="1" applyFill="1" applyAlignment="1">
      <alignment horizontal="center"/>
    </xf>
    <xf numFmtId="3" fontId="4" fillId="34" borderId="0" xfId="0" applyNumberFormat="1" applyFont="1" applyFill="1" applyAlignment="1">
      <alignment/>
    </xf>
    <xf numFmtId="49" fontId="0" fillId="34" borderId="0" xfId="0" applyFont="1" applyFill="1" applyAlignment="1">
      <alignment/>
    </xf>
    <xf numFmtId="49" fontId="4" fillId="34" borderId="0" xfId="0" applyFont="1" applyFill="1" applyAlignment="1">
      <alignment horizontal="center"/>
    </xf>
    <xf numFmtId="49" fontId="4" fillId="0" borderId="30" xfId="0" applyFont="1" applyBorder="1" applyAlignment="1">
      <alignment horizontal="center"/>
    </xf>
    <xf numFmtId="49" fontId="0" fillId="0" borderId="31" xfId="0" applyFont="1" applyBorder="1" applyAlignment="1">
      <alignment/>
    </xf>
    <xf numFmtId="49" fontId="0" fillId="0" borderId="32" xfId="0" applyFont="1" applyBorder="1" applyAlignment="1">
      <alignment/>
    </xf>
    <xf numFmtId="49" fontId="4" fillId="0" borderId="32" xfId="0" applyFont="1" applyBorder="1" applyAlignment="1">
      <alignment horizontal="center"/>
    </xf>
    <xf numFmtId="49" fontId="4" fillId="0" borderId="33" xfId="0" applyFont="1" applyBorder="1" applyAlignment="1">
      <alignment/>
    </xf>
    <xf numFmtId="49" fontId="4" fillId="0" borderId="34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49" fontId="4" fillId="0" borderId="39" xfId="0" applyFont="1" applyBorder="1" applyAlignment="1">
      <alignment horizontal="center"/>
    </xf>
    <xf numFmtId="3" fontId="4" fillId="34" borderId="40" xfId="0" applyNumberFormat="1" applyFont="1" applyFill="1" applyBorder="1" applyAlignment="1">
      <alignment/>
    </xf>
    <xf numFmtId="3" fontId="4" fillId="34" borderId="41" xfId="0" applyNumberFormat="1" applyFont="1" applyFill="1" applyBorder="1" applyAlignment="1">
      <alignment/>
    </xf>
    <xf numFmtId="49" fontId="0" fillId="0" borderId="39" xfId="0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49" fontId="5" fillId="0" borderId="42" xfId="0" applyFont="1" applyBorder="1" applyAlignment="1">
      <alignment horizontal="center"/>
    </xf>
    <xf numFmtId="49" fontId="5" fillId="0" borderId="30" xfId="0" applyFont="1" applyBorder="1" applyAlignment="1">
      <alignment horizontal="center"/>
    </xf>
    <xf numFmtId="49" fontId="5" fillId="0" borderId="37" xfId="0" applyFont="1" applyFill="1" applyBorder="1" applyAlignment="1">
      <alignment horizontal="center"/>
    </xf>
    <xf numFmtId="49" fontId="5" fillId="0" borderId="40" xfId="0" applyFont="1" applyFill="1" applyBorder="1" applyAlignment="1">
      <alignment horizontal="center"/>
    </xf>
    <xf numFmtId="49" fontId="5" fillId="0" borderId="37" xfId="0" applyFont="1" applyBorder="1" applyAlignment="1">
      <alignment horizontal="center"/>
    </xf>
    <xf numFmtId="49" fontId="5" fillId="0" borderId="40" xfId="0" applyFont="1" applyBorder="1" applyAlignment="1">
      <alignment horizontal="center"/>
    </xf>
    <xf numFmtId="3" fontId="4" fillId="34" borderId="30" xfId="0" applyNumberFormat="1" applyFont="1" applyFill="1" applyBorder="1" applyAlignment="1">
      <alignment/>
    </xf>
    <xf numFmtId="49" fontId="4" fillId="0" borderId="30" xfId="0" applyFont="1" applyBorder="1" applyAlignment="1">
      <alignment/>
    </xf>
    <xf numFmtId="3" fontId="4" fillId="0" borderId="30" xfId="0" applyNumberFormat="1" applyFont="1" applyBorder="1" applyAlignment="1">
      <alignment/>
    </xf>
    <xf numFmtId="49" fontId="4" fillId="0" borderId="43" xfId="0" applyFont="1" applyBorder="1" applyAlignment="1">
      <alignment horizontal="center"/>
    </xf>
    <xf numFmtId="49" fontId="0" fillId="0" borderId="44" xfId="0" applyFont="1" applyBorder="1" applyAlignment="1">
      <alignment horizontal="center"/>
    </xf>
    <xf numFmtId="49" fontId="4" fillId="34" borderId="44" xfId="0" applyFont="1" applyFill="1" applyBorder="1" applyAlignment="1">
      <alignment/>
    </xf>
    <xf numFmtId="3" fontId="4" fillId="34" borderId="45" xfId="0" applyNumberFormat="1" applyFont="1" applyFill="1" applyBorder="1" applyAlignment="1">
      <alignment/>
    </xf>
    <xf numFmtId="49" fontId="4" fillId="0" borderId="46" xfId="0" applyFont="1" applyBorder="1" applyAlignment="1">
      <alignment horizontal="center"/>
    </xf>
    <xf numFmtId="49" fontId="4" fillId="0" borderId="47" xfId="0" applyFont="1" applyBorder="1" applyAlignment="1">
      <alignment horizontal="center"/>
    </xf>
    <xf numFmtId="49" fontId="0" fillId="0" borderId="47" xfId="0" applyFont="1" applyBorder="1" applyAlignment="1">
      <alignment horizontal="center"/>
    </xf>
    <xf numFmtId="49" fontId="4" fillId="34" borderId="47" xfId="0" applyFont="1" applyFill="1" applyBorder="1" applyAlignment="1">
      <alignment/>
    </xf>
    <xf numFmtId="3" fontId="4" fillId="34" borderId="48" xfId="0" applyNumberFormat="1" applyFont="1" applyFill="1" applyBorder="1" applyAlignment="1">
      <alignment/>
    </xf>
    <xf numFmtId="49" fontId="0" fillId="0" borderId="46" xfId="0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49" fontId="4" fillId="0" borderId="47" xfId="0" applyFont="1" applyBorder="1" applyAlignment="1">
      <alignment/>
    </xf>
    <xf numFmtId="3" fontId="4" fillId="0" borderId="48" xfId="0" applyNumberFormat="1" applyFont="1" applyBorder="1" applyAlignment="1">
      <alignment/>
    </xf>
    <xf numFmtId="49" fontId="0" fillId="0" borderId="47" xfId="0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8" xfId="0" applyNumberFormat="1" applyFont="1" applyFill="1" applyBorder="1" applyAlignment="1">
      <alignment/>
    </xf>
    <xf numFmtId="49" fontId="4" fillId="0" borderId="47" xfId="0" applyNumberFormat="1" applyFont="1" applyBorder="1" applyAlignment="1">
      <alignment horizontal="center"/>
    </xf>
    <xf numFmtId="49" fontId="0" fillId="0" borderId="49" xfId="0" applyFont="1" applyBorder="1" applyAlignment="1">
      <alignment horizontal="center"/>
    </xf>
    <xf numFmtId="49" fontId="0" fillId="0" borderId="50" xfId="0" applyFont="1" applyBorder="1" applyAlignment="1">
      <alignment horizontal="center"/>
    </xf>
    <xf numFmtId="49" fontId="0" fillId="0" borderId="50" xfId="0" applyNumberFormat="1" applyFont="1" applyBorder="1" applyAlignment="1">
      <alignment horizontal="center"/>
    </xf>
    <xf numFmtId="49" fontId="0" fillId="0" borderId="50" xfId="0" applyFont="1" applyBorder="1" applyAlignment="1">
      <alignment/>
    </xf>
    <xf numFmtId="3" fontId="0" fillId="0" borderId="51" xfId="0" applyNumberFormat="1" applyFont="1" applyBorder="1" applyAlignment="1">
      <alignment/>
    </xf>
    <xf numFmtId="49" fontId="0" fillId="0" borderId="44" xfId="0" applyNumberFormat="1" applyFont="1" applyBorder="1" applyAlignment="1">
      <alignment horizontal="center"/>
    </xf>
    <xf numFmtId="49" fontId="4" fillId="0" borderId="44" xfId="0" applyFont="1" applyBorder="1" applyAlignment="1">
      <alignment/>
    </xf>
    <xf numFmtId="49" fontId="0" fillId="0" borderId="43" xfId="0" applyFont="1" applyBorder="1" applyAlignment="1">
      <alignment horizontal="center"/>
    </xf>
    <xf numFmtId="3" fontId="4" fillId="0" borderId="45" xfId="0" applyNumberFormat="1" applyFont="1" applyBorder="1" applyAlignment="1">
      <alignment/>
    </xf>
    <xf numFmtId="49" fontId="0" fillId="0" borderId="52" xfId="0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0" fillId="0" borderId="52" xfId="0" applyFont="1" applyBorder="1" applyAlignment="1">
      <alignment/>
    </xf>
    <xf numFmtId="49" fontId="11" fillId="34" borderId="13" xfId="0" applyFont="1" applyFill="1" applyBorder="1" applyAlignment="1">
      <alignment/>
    </xf>
    <xf numFmtId="49" fontId="4" fillId="34" borderId="13" xfId="0" applyFont="1" applyFill="1" applyBorder="1" applyAlignment="1">
      <alignment/>
    </xf>
    <xf numFmtId="49" fontId="0" fillId="0" borderId="13" xfId="0" applyFont="1" applyBorder="1" applyAlignment="1">
      <alignment horizontal="left"/>
    </xf>
    <xf numFmtId="49" fontId="0" fillId="0" borderId="53" xfId="0" applyFont="1" applyBorder="1" applyAlignment="1">
      <alignment horizontal="center"/>
    </xf>
    <xf numFmtId="3" fontId="0" fillId="0" borderId="54" xfId="0" applyNumberFormat="1" applyFont="1" applyBorder="1" applyAlignment="1">
      <alignment/>
    </xf>
    <xf numFmtId="49" fontId="0" fillId="0" borderId="55" xfId="0" applyFont="1" applyBorder="1" applyAlignment="1">
      <alignment horizontal="center"/>
    </xf>
    <xf numFmtId="3" fontId="0" fillId="0" borderId="56" xfId="0" applyNumberFormat="1" applyFont="1" applyBorder="1" applyAlignment="1">
      <alignment/>
    </xf>
    <xf numFmtId="3" fontId="11" fillId="34" borderId="56" xfId="0" applyNumberFormat="1" applyFont="1" applyFill="1" applyBorder="1" applyAlignment="1">
      <alignment/>
    </xf>
    <xf numFmtId="49" fontId="4" fillId="0" borderId="55" xfId="0" applyFont="1" applyBorder="1" applyAlignment="1">
      <alignment horizontal="center"/>
    </xf>
    <xf numFmtId="3" fontId="4" fillId="34" borderId="56" xfId="0" applyNumberFormat="1" applyFont="1" applyFill="1" applyBorder="1" applyAlignment="1">
      <alignment/>
    </xf>
    <xf numFmtId="3" fontId="4" fillId="0" borderId="56" xfId="0" applyNumberFormat="1" applyFont="1" applyBorder="1" applyAlignment="1">
      <alignment/>
    </xf>
    <xf numFmtId="49" fontId="4" fillId="0" borderId="55" xfId="0" applyNumberFormat="1" applyFont="1" applyBorder="1" applyAlignment="1">
      <alignment horizontal="center"/>
    </xf>
    <xf numFmtId="49" fontId="0" fillId="0" borderId="55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49" fontId="0" fillId="0" borderId="58" xfId="0" applyFont="1" applyBorder="1" applyAlignment="1">
      <alignment horizontal="center"/>
    </xf>
    <xf numFmtId="49" fontId="4" fillId="0" borderId="58" xfId="0" applyFont="1" applyBorder="1" applyAlignment="1">
      <alignment/>
    </xf>
    <xf numFmtId="3" fontId="4" fillId="0" borderId="59" xfId="0" applyNumberFormat="1" applyFont="1" applyBorder="1" applyAlignment="1">
      <alignment/>
    </xf>
    <xf numFmtId="49" fontId="0" fillId="0" borderId="44" xfId="0" applyFont="1" applyBorder="1" applyAlignment="1">
      <alignment/>
    </xf>
    <xf numFmtId="49" fontId="0" fillId="0" borderId="43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/>
    </xf>
    <xf numFmtId="49" fontId="0" fillId="0" borderId="46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0" fillId="0" borderId="51" xfId="0" applyFont="1" applyBorder="1" applyAlignment="1">
      <alignment/>
    </xf>
    <xf numFmtId="3" fontId="11" fillId="34" borderId="30" xfId="0" applyNumberFormat="1" applyFont="1" applyFill="1" applyBorder="1" applyAlignment="1">
      <alignment/>
    </xf>
    <xf numFmtId="49" fontId="5" fillId="34" borderId="30" xfId="0" applyFont="1" applyFill="1" applyBorder="1" applyAlignment="1">
      <alignment horizontal="center"/>
    </xf>
    <xf numFmtId="10" fontId="4" fillId="0" borderId="30" xfId="0" applyNumberFormat="1" applyFont="1" applyBorder="1" applyAlignment="1">
      <alignment/>
    </xf>
    <xf numFmtId="10" fontId="4" fillId="34" borderId="30" xfId="0" applyNumberFormat="1" applyFont="1" applyFill="1" applyBorder="1" applyAlignment="1">
      <alignment/>
    </xf>
    <xf numFmtId="3" fontId="0" fillId="34" borderId="37" xfId="0" applyNumberFormat="1" applyFont="1" applyFill="1" applyBorder="1" applyAlignment="1">
      <alignment/>
    </xf>
    <xf numFmtId="3" fontId="4" fillId="34" borderId="38" xfId="0" applyNumberFormat="1" applyFont="1" applyFill="1" applyBorder="1" applyAlignment="1">
      <alignment/>
    </xf>
    <xf numFmtId="3" fontId="0" fillId="34" borderId="40" xfId="0" applyNumberFormat="1" applyFont="1" applyFill="1" applyBorder="1" applyAlignment="1">
      <alignment/>
    </xf>
    <xf numFmtId="3" fontId="0" fillId="34" borderId="31" xfId="0" applyNumberFormat="1" applyFont="1" applyFill="1" applyBorder="1" applyAlignment="1">
      <alignment/>
    </xf>
    <xf numFmtId="3" fontId="4" fillId="34" borderId="32" xfId="0" applyNumberFormat="1" applyFont="1" applyFill="1" applyBorder="1" applyAlignment="1">
      <alignment/>
    </xf>
    <xf numFmtId="3" fontId="0" fillId="34" borderId="39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10" fontId="4" fillId="0" borderId="60" xfId="0" applyNumberFormat="1" applyFont="1" applyBorder="1" applyAlignment="1">
      <alignment/>
    </xf>
    <xf numFmtId="10" fontId="0" fillId="0" borderId="40" xfId="0" applyNumberFormat="1" applyFont="1" applyBorder="1" applyAlignment="1">
      <alignment/>
    </xf>
    <xf numFmtId="49" fontId="0" fillId="0" borderId="37" xfId="0" applyFont="1" applyBorder="1" applyAlignment="1">
      <alignment/>
    </xf>
    <xf numFmtId="49" fontId="0" fillId="0" borderId="38" xfId="0" applyFont="1" applyBorder="1" applyAlignment="1">
      <alignment/>
    </xf>
    <xf numFmtId="49" fontId="0" fillId="0" borderId="40" xfId="0" applyFont="1" applyBorder="1" applyAlignment="1">
      <alignment/>
    </xf>
    <xf numFmtId="3" fontId="0" fillId="34" borderId="38" xfId="0" applyNumberFormat="1" applyFont="1" applyFill="1" applyBorder="1" applyAlignment="1">
      <alignment/>
    </xf>
    <xf numFmtId="3" fontId="0" fillId="0" borderId="47" xfId="0" applyNumberFormat="1" applyFont="1" applyBorder="1" applyAlignment="1">
      <alignment/>
    </xf>
    <xf numFmtId="10" fontId="0" fillId="0" borderId="35" xfId="0" applyNumberFormat="1" applyFont="1" applyBorder="1" applyAlignment="1">
      <alignment/>
    </xf>
    <xf numFmtId="10" fontId="0" fillId="0" borderId="61" xfId="0" applyNumberFormat="1" applyFont="1" applyBorder="1" applyAlignment="1">
      <alignment/>
    </xf>
    <xf numFmtId="10" fontId="0" fillId="0" borderId="36" xfId="0" applyNumberFormat="1" applyFont="1" applyBorder="1" applyAlignment="1">
      <alignment/>
    </xf>
    <xf numFmtId="10" fontId="0" fillId="0" borderId="41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10" fontId="0" fillId="0" borderId="63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49" fontId="4" fillId="0" borderId="50" xfId="0" applyFont="1" applyBorder="1" applyAlignment="1">
      <alignment/>
    </xf>
    <xf numFmtId="3" fontId="14" fillId="0" borderId="47" xfId="48" applyNumberFormat="1" applyFont="1" applyFill="1" applyBorder="1" applyAlignment="1">
      <alignment/>
    </xf>
    <xf numFmtId="49" fontId="4" fillId="0" borderId="42" xfId="0" applyFont="1" applyBorder="1" applyAlignment="1">
      <alignment horizontal="center"/>
    </xf>
    <xf numFmtId="3" fontId="0" fillId="0" borderId="68" xfId="0" applyNumberFormat="1" applyFont="1" applyBorder="1" applyAlignment="1">
      <alignment/>
    </xf>
    <xf numFmtId="3" fontId="0" fillId="0" borderId="69" xfId="0" applyNumberFormat="1" applyFont="1" applyBorder="1" applyAlignment="1">
      <alignment/>
    </xf>
    <xf numFmtId="49" fontId="4" fillId="34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center"/>
    </xf>
    <xf numFmtId="3" fontId="8" fillId="0" borderId="47" xfId="0" applyNumberFormat="1" applyFont="1" applyBorder="1" applyAlignment="1">
      <alignment/>
    </xf>
    <xf numFmtId="49" fontId="0" fillId="0" borderId="70" xfId="0" applyNumberFormat="1" applyFont="1" applyBorder="1" applyAlignment="1">
      <alignment horizontal="center"/>
    </xf>
    <xf numFmtId="3" fontId="17" fillId="0" borderId="47" xfId="0" applyNumberFormat="1" applyFont="1" applyBorder="1" applyAlignment="1">
      <alignment/>
    </xf>
    <xf numFmtId="49" fontId="0" fillId="0" borderId="71" xfId="0" applyFont="1" applyBorder="1" applyAlignment="1">
      <alignment horizontal="center"/>
    </xf>
    <xf numFmtId="49" fontId="0" fillId="0" borderId="72" xfId="0" applyFont="1" applyBorder="1" applyAlignment="1">
      <alignment/>
    </xf>
    <xf numFmtId="3" fontId="0" fillId="0" borderId="73" xfId="0" applyNumberFormat="1" applyFont="1" applyBorder="1" applyAlignment="1">
      <alignment/>
    </xf>
    <xf numFmtId="49" fontId="0" fillId="0" borderId="74" xfId="0" applyFont="1" applyBorder="1" applyAlignment="1">
      <alignment horizontal="center"/>
    </xf>
    <xf numFmtId="3" fontId="0" fillId="0" borderId="75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49" fontId="4" fillId="0" borderId="77" xfId="0" applyFont="1" applyBorder="1" applyAlignment="1">
      <alignment horizontal="center"/>
    </xf>
    <xf numFmtId="3" fontId="4" fillId="34" borderId="78" xfId="0" applyNumberFormat="1" applyFont="1" applyFill="1" applyBorder="1" applyAlignment="1">
      <alignment/>
    </xf>
    <xf numFmtId="3" fontId="0" fillId="34" borderId="79" xfId="0" applyNumberFormat="1" applyFont="1" applyFill="1" applyBorder="1" applyAlignment="1">
      <alignment/>
    </xf>
    <xf numFmtId="3" fontId="0" fillId="34" borderId="33" xfId="0" applyNumberFormat="1" applyFont="1" applyFill="1" applyBorder="1" applyAlignment="1">
      <alignment/>
    </xf>
    <xf numFmtId="3" fontId="0" fillId="34" borderId="32" xfId="0" applyNumberFormat="1" applyFont="1" applyFill="1" applyBorder="1" applyAlignment="1">
      <alignment/>
    </xf>
    <xf numFmtId="49" fontId="5" fillId="34" borderId="42" xfId="0" applyFont="1" applyFill="1" applyBorder="1" applyAlignment="1">
      <alignment horizontal="center"/>
    </xf>
    <xf numFmtId="49" fontId="5" fillId="34" borderId="37" xfId="0" applyFont="1" applyFill="1" applyBorder="1" applyAlignment="1">
      <alignment horizontal="center"/>
    </xf>
    <xf numFmtId="49" fontId="5" fillId="34" borderId="40" xfId="0" applyFont="1" applyFill="1" applyBorder="1" applyAlignment="1">
      <alignment horizontal="center"/>
    </xf>
    <xf numFmtId="49" fontId="4" fillId="34" borderId="30" xfId="0" applyFont="1" applyFill="1" applyBorder="1" applyAlignment="1">
      <alignment horizontal="center"/>
    </xf>
    <xf numFmtId="49" fontId="4" fillId="34" borderId="40" xfId="0" applyFont="1" applyFill="1" applyBorder="1" applyAlignment="1">
      <alignment horizontal="center"/>
    </xf>
    <xf numFmtId="3" fontId="4" fillId="34" borderId="80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/>
    </xf>
    <xf numFmtId="49" fontId="4" fillId="0" borderId="42" xfId="0" applyFont="1" applyBorder="1" applyAlignment="1">
      <alignment/>
    </xf>
    <xf numFmtId="3" fontId="4" fillId="34" borderId="81" xfId="0" applyNumberFormat="1" applyFont="1" applyFill="1" applyBorder="1" applyAlignment="1">
      <alignment/>
    </xf>
    <xf numFmtId="3" fontId="0" fillId="34" borderId="82" xfId="0" applyNumberFormat="1" applyFont="1" applyFill="1" applyBorder="1" applyAlignment="1">
      <alignment/>
    </xf>
    <xf numFmtId="3" fontId="0" fillId="34" borderId="83" xfId="0" applyNumberFormat="1" applyFont="1" applyFill="1" applyBorder="1" applyAlignment="1">
      <alignment/>
    </xf>
    <xf numFmtId="49" fontId="0" fillId="0" borderId="84" xfId="0" applyNumberFormat="1" applyFont="1" applyBorder="1" applyAlignment="1">
      <alignment horizontal="center"/>
    </xf>
    <xf numFmtId="3" fontId="0" fillId="0" borderId="85" xfId="0" applyNumberFormat="1" applyFont="1" applyBorder="1" applyAlignment="1">
      <alignment/>
    </xf>
    <xf numFmtId="49" fontId="0" fillId="0" borderId="86" xfId="0" applyNumberFormat="1" applyFont="1" applyBorder="1" applyAlignment="1">
      <alignment horizontal="center"/>
    </xf>
    <xf numFmtId="49" fontId="0" fillId="0" borderId="87" xfId="0" applyFont="1" applyBorder="1" applyAlignment="1">
      <alignment/>
    </xf>
    <xf numFmtId="3" fontId="0" fillId="0" borderId="88" xfId="0" applyNumberFormat="1" applyFont="1" applyBorder="1" applyAlignment="1">
      <alignment/>
    </xf>
    <xf numFmtId="3" fontId="0" fillId="35" borderId="47" xfId="0" applyNumberFormat="1" applyFont="1" applyFill="1" applyBorder="1" applyAlignment="1">
      <alignment/>
    </xf>
    <xf numFmtId="3" fontId="0" fillId="0" borderId="89" xfId="0" applyNumberFormat="1" applyFont="1" applyBorder="1" applyAlignment="1">
      <alignment/>
    </xf>
    <xf numFmtId="3" fontId="0" fillId="34" borderId="69" xfId="0" applyNumberFormat="1" applyFont="1" applyFill="1" applyBorder="1" applyAlignment="1">
      <alignment/>
    </xf>
    <xf numFmtId="3" fontId="0" fillId="34" borderId="62" xfId="0" applyNumberFormat="1" applyFont="1" applyFill="1" applyBorder="1" applyAlignment="1">
      <alignment/>
    </xf>
    <xf numFmtId="3" fontId="0" fillId="34" borderId="68" xfId="0" applyNumberFormat="1" applyFont="1" applyFill="1" applyBorder="1" applyAlignment="1">
      <alignment/>
    </xf>
    <xf numFmtId="3" fontId="0" fillId="34" borderId="89" xfId="0" applyNumberFormat="1" applyFont="1" applyFill="1" applyBorder="1" applyAlignment="1">
      <alignment/>
    </xf>
    <xf numFmtId="49" fontId="4" fillId="34" borderId="80" xfId="0" applyFont="1" applyFill="1" applyBorder="1" applyAlignment="1">
      <alignment horizontal="center"/>
    </xf>
    <xf numFmtId="49" fontId="4" fillId="34" borderId="31" xfId="0" applyNumberFormat="1" applyFont="1" applyFill="1" applyBorder="1" applyAlignment="1">
      <alignment horizontal="center"/>
    </xf>
    <xf numFmtId="49" fontId="4" fillId="34" borderId="32" xfId="0" applyNumberFormat="1" applyFont="1" applyFill="1" applyBorder="1" applyAlignment="1">
      <alignment horizontal="center"/>
    </xf>
    <xf numFmtId="49" fontId="4" fillId="34" borderId="36" xfId="0" applyNumberFormat="1" applyFont="1" applyFill="1" applyBorder="1" applyAlignment="1">
      <alignment horizontal="center"/>
    </xf>
    <xf numFmtId="49" fontId="4" fillId="0" borderId="90" xfId="0" applyNumberFormat="1" applyFont="1" applyBorder="1" applyAlignment="1">
      <alignment horizontal="center"/>
    </xf>
    <xf numFmtId="49" fontId="4" fillId="0" borderId="91" xfId="0" applyNumberFormat="1" applyFont="1" applyBorder="1" applyAlignment="1">
      <alignment horizontal="center"/>
    </xf>
    <xf numFmtId="49" fontId="4" fillId="0" borderId="91" xfId="0" applyFont="1" applyBorder="1" applyAlignment="1">
      <alignment/>
    </xf>
    <xf numFmtId="3" fontId="0" fillId="0" borderId="91" xfId="0" applyNumberFormat="1" applyFont="1" applyBorder="1" applyAlignment="1">
      <alignment/>
    </xf>
    <xf numFmtId="3" fontId="4" fillId="0" borderId="92" xfId="0" applyNumberFormat="1" applyFont="1" applyBorder="1" applyAlignment="1">
      <alignment/>
    </xf>
    <xf numFmtId="49" fontId="4" fillId="0" borderId="84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/>
    </xf>
    <xf numFmtId="3" fontId="4" fillId="0" borderId="85" xfId="0" applyNumberFormat="1" applyFont="1" applyBorder="1" applyAlignment="1">
      <alignment/>
    </xf>
    <xf numFmtId="49" fontId="4" fillId="0" borderId="86" xfId="0" applyNumberFormat="1" applyFont="1" applyBorder="1" applyAlignment="1">
      <alignment horizontal="center"/>
    </xf>
    <xf numFmtId="49" fontId="4" fillId="0" borderId="87" xfId="0" applyNumberFormat="1" applyFont="1" applyBorder="1" applyAlignment="1">
      <alignment horizontal="center"/>
    </xf>
    <xf numFmtId="3" fontId="0" fillId="0" borderId="87" xfId="0" applyNumberFormat="1" applyFont="1" applyBorder="1" applyAlignment="1">
      <alignment/>
    </xf>
    <xf numFmtId="3" fontId="4" fillId="0" borderId="88" xfId="0" applyNumberFormat="1" applyFont="1" applyBorder="1" applyAlignment="1">
      <alignment/>
    </xf>
    <xf numFmtId="49" fontId="4" fillId="0" borderId="90" xfId="0" applyNumberFormat="1" applyFont="1" applyFill="1" applyBorder="1" applyAlignment="1">
      <alignment/>
    </xf>
    <xf numFmtId="49" fontId="4" fillId="0" borderId="91" xfId="0" applyNumberFormat="1" applyFont="1" applyFill="1" applyBorder="1" applyAlignment="1">
      <alignment/>
    </xf>
    <xf numFmtId="49" fontId="0" fillId="0" borderId="91" xfId="0" applyFont="1" applyFill="1" applyBorder="1" applyAlignment="1">
      <alignment horizontal="center"/>
    </xf>
    <xf numFmtId="3" fontId="0" fillId="0" borderId="91" xfId="0" applyNumberFormat="1" applyFont="1" applyFill="1" applyBorder="1" applyAlignment="1">
      <alignment/>
    </xf>
    <xf numFmtId="3" fontId="0" fillId="0" borderId="92" xfId="0" applyNumberFormat="1" applyFont="1" applyFill="1" applyBorder="1" applyAlignment="1">
      <alignment/>
    </xf>
    <xf numFmtId="49" fontId="0" fillId="0" borderId="87" xfId="0" applyNumberFormat="1" applyFont="1" applyBorder="1" applyAlignment="1">
      <alignment horizontal="center"/>
    </xf>
    <xf numFmtId="49" fontId="4" fillId="34" borderId="90" xfId="0" applyNumberFormat="1" applyFont="1" applyFill="1" applyBorder="1" applyAlignment="1">
      <alignment horizontal="center"/>
    </xf>
    <xf numFmtId="49" fontId="4" fillId="34" borderId="91" xfId="0" applyNumberFormat="1" applyFont="1" applyFill="1" applyBorder="1" applyAlignment="1">
      <alignment horizontal="center"/>
    </xf>
    <xf numFmtId="49" fontId="4" fillId="34" borderId="91" xfId="0" applyFont="1" applyFill="1" applyBorder="1" applyAlignment="1">
      <alignment/>
    </xf>
    <xf numFmtId="3" fontId="4" fillId="34" borderId="91" xfId="0" applyNumberFormat="1" applyFont="1" applyFill="1" applyBorder="1" applyAlignment="1">
      <alignment/>
    </xf>
    <xf numFmtId="3" fontId="4" fillId="34" borderId="92" xfId="0" applyNumberFormat="1" applyFont="1" applyFill="1" applyBorder="1" applyAlignment="1">
      <alignment/>
    </xf>
    <xf numFmtId="49" fontId="4" fillId="34" borderId="84" xfId="0" applyNumberFormat="1" applyFont="1" applyFill="1" applyBorder="1" applyAlignment="1">
      <alignment horizontal="center"/>
    </xf>
    <xf numFmtId="49" fontId="4" fillId="34" borderId="47" xfId="0" applyNumberFormat="1" applyFont="1" applyFill="1" applyBorder="1" applyAlignment="1">
      <alignment horizontal="center"/>
    </xf>
    <xf numFmtId="3" fontId="4" fillId="34" borderId="47" xfId="0" applyNumberFormat="1" applyFont="1" applyFill="1" applyBorder="1" applyAlignment="1">
      <alignment/>
    </xf>
    <xf numFmtId="3" fontId="4" fillId="34" borderId="85" xfId="0" applyNumberFormat="1" applyFont="1" applyFill="1" applyBorder="1" applyAlignment="1">
      <alignment/>
    </xf>
    <xf numFmtId="49" fontId="4" fillId="0" borderId="43" xfId="0" applyNumberFormat="1" applyFont="1" applyFill="1" applyBorder="1" applyAlignment="1">
      <alignment/>
    </xf>
    <xf numFmtId="49" fontId="4" fillId="0" borderId="44" xfId="0" applyNumberFormat="1" applyFont="1" applyFill="1" applyBorder="1" applyAlignment="1">
      <alignment/>
    </xf>
    <xf numFmtId="49" fontId="0" fillId="0" borderId="44" xfId="0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49" fontId="4" fillId="34" borderId="46" xfId="0" applyNumberFormat="1" applyFont="1" applyFill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49" fontId="4" fillId="34" borderId="10" xfId="0" applyFont="1" applyFill="1" applyBorder="1" applyAlignment="1">
      <alignment horizontal="center"/>
    </xf>
    <xf numFmtId="3" fontId="4" fillId="34" borderId="0" xfId="0" applyNumberFormat="1" applyFont="1" applyFill="1" applyBorder="1" applyAlignment="1" applyProtection="1">
      <alignment/>
      <protection locked="0"/>
    </xf>
    <xf numFmtId="3" fontId="0" fillId="34" borderId="0" xfId="0" applyNumberFormat="1" applyFont="1" applyFill="1" applyBorder="1" applyAlignment="1" applyProtection="1">
      <alignment/>
      <protection locked="0"/>
    </xf>
    <xf numFmtId="3" fontId="0" fillId="34" borderId="0" xfId="0" applyNumberFormat="1" applyFont="1" applyFill="1" applyAlignment="1">
      <alignment/>
    </xf>
    <xf numFmtId="3" fontId="4" fillId="34" borderId="0" xfId="0" applyNumberFormat="1" applyFont="1" applyFill="1" applyBorder="1" applyAlignment="1" applyProtection="1">
      <alignment/>
      <protection locked="0"/>
    </xf>
    <xf numFmtId="3" fontId="4" fillId="34" borderId="30" xfId="0" applyNumberFormat="1" applyFont="1" applyFill="1" applyBorder="1" applyAlignment="1" applyProtection="1">
      <alignment/>
      <protection locked="0"/>
    </xf>
    <xf numFmtId="3" fontId="0" fillId="34" borderId="30" xfId="0" applyNumberFormat="1" applyFont="1" applyFill="1" applyBorder="1" applyAlignment="1" applyProtection="1">
      <alignment/>
      <protection locked="0"/>
    </xf>
    <xf numFmtId="49" fontId="7" fillId="34" borderId="30" xfId="0" applyFont="1" applyFill="1" applyBorder="1" applyAlignment="1">
      <alignment horizontal="center"/>
    </xf>
    <xf numFmtId="49" fontId="6" fillId="0" borderId="47" xfId="0" applyFont="1" applyFill="1" applyBorder="1" applyAlignment="1">
      <alignment horizontal="center"/>
    </xf>
    <xf numFmtId="49" fontId="6" fillId="0" borderId="47" xfId="0" applyFont="1" applyFill="1" applyBorder="1" applyAlignment="1">
      <alignment/>
    </xf>
    <xf numFmtId="49" fontId="6" fillId="0" borderId="47" xfId="0" applyFont="1" applyBorder="1" applyAlignment="1">
      <alignment horizontal="right" vertical="center"/>
    </xf>
    <xf numFmtId="49" fontId="6" fillId="0" borderId="93" xfId="0" applyFont="1" applyFill="1" applyBorder="1" applyAlignment="1">
      <alignment horizontal="center"/>
    </xf>
    <xf numFmtId="49" fontId="6" fillId="0" borderId="93" xfId="0" applyFont="1" applyFill="1" applyBorder="1" applyAlignment="1">
      <alignment/>
    </xf>
    <xf numFmtId="49" fontId="6" fillId="0" borderId="93" xfId="0" applyFont="1" applyBorder="1" applyAlignment="1">
      <alignment horizontal="right" vertical="center"/>
    </xf>
    <xf numFmtId="49" fontId="6" fillId="0" borderId="0" xfId="0" applyFont="1" applyFill="1" applyBorder="1" applyAlignment="1">
      <alignment horizontal="center"/>
    </xf>
    <xf numFmtId="49" fontId="6" fillId="0" borderId="0" xfId="0" applyFont="1" applyBorder="1" applyAlignment="1">
      <alignment horizontal="right" vertical="center"/>
    </xf>
    <xf numFmtId="49" fontId="0" fillId="0" borderId="0" xfId="0" applyBorder="1" applyAlignment="1">
      <alignment/>
    </xf>
    <xf numFmtId="49" fontId="6" fillId="0" borderId="70" xfId="0" applyFont="1" applyFill="1" applyBorder="1" applyAlignment="1">
      <alignment horizontal="center"/>
    </xf>
    <xf numFmtId="49" fontId="6" fillId="0" borderId="70" xfId="0" applyFont="1" applyFill="1" applyBorder="1" applyAlignment="1">
      <alignment/>
    </xf>
    <xf numFmtId="49" fontId="6" fillId="0" borderId="70" xfId="0" applyFont="1" applyBorder="1" applyAlignment="1">
      <alignment horizontal="right" vertical="center"/>
    </xf>
    <xf numFmtId="4" fontId="6" fillId="0" borderId="0" xfId="0" applyNumberFormat="1" applyFont="1" applyFill="1" applyBorder="1" applyAlignment="1">
      <alignment/>
    </xf>
    <xf numFmtId="49" fontId="6" fillId="0" borderId="30" xfId="0" applyFont="1" applyFill="1" applyBorder="1" applyAlignment="1">
      <alignment/>
    </xf>
    <xf numFmtId="49" fontId="6" fillId="0" borderId="30" xfId="0" applyFont="1" applyBorder="1" applyAlignment="1">
      <alignment horizontal="right" vertical="center"/>
    </xf>
    <xf numFmtId="0" fontId="7" fillId="34" borderId="47" xfId="53" applyFont="1" applyFill="1" applyBorder="1" applyAlignment="1">
      <alignment horizontal="center"/>
      <protection/>
    </xf>
    <xf numFmtId="4" fontId="7" fillId="34" borderId="47" xfId="53" applyNumberFormat="1" applyFont="1" applyFill="1" applyBorder="1" applyAlignment="1">
      <alignment horizontal="center"/>
      <protection/>
    </xf>
    <xf numFmtId="0" fontId="6" fillId="0" borderId="47" xfId="53" applyFont="1" applyBorder="1" applyAlignment="1">
      <alignment horizontal="justify" vertical="center"/>
      <protection/>
    </xf>
    <xf numFmtId="0" fontId="6" fillId="0" borderId="47" xfId="53" applyFont="1" applyBorder="1" applyAlignment="1">
      <alignment horizontal="justify" vertical="center" wrapText="1"/>
      <protection/>
    </xf>
    <xf numFmtId="0" fontId="6" fillId="0" borderId="47" xfId="53" applyFont="1" applyBorder="1" applyAlignment="1">
      <alignment vertical="center" wrapText="1"/>
      <protection/>
    </xf>
    <xf numFmtId="4" fontId="7" fillId="0" borderId="47" xfId="53" applyNumberFormat="1" applyFont="1" applyBorder="1" applyAlignment="1">
      <alignment horizontal="center" vertical="center"/>
      <protection/>
    </xf>
    <xf numFmtId="0" fontId="6" fillId="0" borderId="47" xfId="53" applyFont="1" applyBorder="1" applyAlignment="1">
      <alignment vertical="center"/>
      <protection/>
    </xf>
    <xf numFmtId="3" fontId="6" fillId="0" borderId="47" xfId="53" applyNumberFormat="1" applyFont="1" applyBorder="1">
      <alignment/>
      <protection/>
    </xf>
    <xf numFmtId="4" fontId="6" fillId="0" borderId="47" xfId="53" applyNumberFormat="1" applyFont="1" applyBorder="1">
      <alignment/>
      <protection/>
    </xf>
    <xf numFmtId="9" fontId="0" fillId="0" borderId="47" xfId="0" applyNumberFormat="1" applyBorder="1" applyAlignment="1">
      <alignment/>
    </xf>
    <xf numFmtId="9" fontId="0" fillId="0" borderId="47" xfId="57" applyFont="1" applyBorder="1" applyAlignment="1">
      <alignment/>
    </xf>
    <xf numFmtId="191" fontId="0" fillId="0" borderId="47" xfId="57" applyNumberFormat="1" applyFont="1" applyBorder="1" applyAlignment="1">
      <alignment/>
    </xf>
    <xf numFmtId="3" fontId="4" fillId="34" borderId="30" xfId="0" applyNumberFormat="1" applyFont="1" applyFill="1" applyBorder="1" applyAlignment="1">
      <alignment horizontal="right"/>
    </xf>
    <xf numFmtId="185" fontId="0" fillId="0" borderId="94" xfId="0" applyNumberFormat="1" applyFill="1" applyBorder="1" applyAlignment="1">
      <alignment/>
    </xf>
    <xf numFmtId="49" fontId="39" fillId="0" borderId="0" xfId="0" applyFont="1" applyAlignment="1">
      <alignment/>
    </xf>
    <xf numFmtId="3" fontId="0" fillId="0" borderId="47" xfId="0" applyNumberFormat="1" applyFont="1" applyFill="1" applyBorder="1" applyAlignment="1">
      <alignment/>
    </xf>
    <xf numFmtId="49" fontId="0" fillId="0" borderId="0" xfId="0" applyAlignment="1">
      <alignment vertical="justify" wrapText="1"/>
    </xf>
    <xf numFmtId="178" fontId="4" fillId="0" borderId="0" xfId="50" applyFont="1" applyAlignment="1">
      <alignment/>
    </xf>
    <xf numFmtId="49" fontId="0" fillId="33" borderId="29" xfId="0" applyFill="1" applyBorder="1" applyAlignment="1">
      <alignment vertical="center"/>
    </xf>
    <xf numFmtId="49" fontId="40" fillId="33" borderId="0" xfId="0" applyFont="1" applyFill="1" applyAlignment="1">
      <alignment horizontal="center" vertical="center"/>
    </xf>
    <xf numFmtId="49" fontId="0" fillId="33" borderId="0" xfId="0" applyFill="1" applyBorder="1" applyAlignment="1" applyProtection="1">
      <alignment horizontal="right" vertical="center"/>
      <protection locked="0"/>
    </xf>
    <xf numFmtId="49" fontId="0" fillId="33" borderId="19" xfId="0" applyFill="1" applyBorder="1" applyAlignment="1">
      <alignment vertical="center"/>
    </xf>
    <xf numFmtId="49" fontId="0" fillId="33" borderId="0" xfId="0" applyFill="1" applyBorder="1" applyAlignment="1">
      <alignment horizontal="right" vertical="center"/>
    </xf>
    <xf numFmtId="49" fontId="20" fillId="33" borderId="95" xfId="0" applyFont="1" applyFill="1" applyBorder="1" applyAlignment="1">
      <alignment horizontal="center" vertical="center"/>
    </xf>
    <xf numFmtId="49" fontId="20" fillId="33" borderId="96" xfId="0" applyFont="1" applyFill="1" applyBorder="1" applyAlignment="1">
      <alignment horizontal="center" vertical="center"/>
    </xf>
    <xf numFmtId="49" fontId="20" fillId="33" borderId="97" xfId="0" applyFont="1" applyFill="1" applyBorder="1" applyAlignment="1">
      <alignment horizontal="center" vertical="center"/>
    </xf>
    <xf numFmtId="49" fontId="20" fillId="33" borderId="98" xfId="0" applyFont="1" applyFill="1" applyBorder="1" applyAlignment="1">
      <alignment horizontal="center" vertical="center"/>
    </xf>
    <xf numFmtId="49" fontId="20" fillId="33" borderId="0" xfId="0" applyFont="1" applyFill="1" applyBorder="1" applyAlignment="1">
      <alignment horizontal="center" vertical="center"/>
    </xf>
    <xf numFmtId="49" fontId="20" fillId="33" borderId="99" xfId="0" applyFont="1" applyFill="1" applyBorder="1" applyAlignment="1">
      <alignment horizontal="center" vertical="center"/>
    </xf>
    <xf numFmtId="49" fontId="22" fillId="33" borderId="100" xfId="0" applyFont="1" applyFill="1" applyBorder="1" applyAlignment="1">
      <alignment horizontal="center" vertical="center"/>
    </xf>
    <xf numFmtId="49" fontId="25" fillId="33" borderId="101" xfId="0" applyFont="1" applyFill="1" applyBorder="1" applyAlignment="1">
      <alignment vertical="center"/>
    </xf>
    <xf numFmtId="49" fontId="0" fillId="33" borderId="102" xfId="0" applyFill="1" applyBorder="1" applyAlignment="1">
      <alignment horizontal="center" vertical="center"/>
    </xf>
    <xf numFmtId="49" fontId="25" fillId="33" borderId="103" xfId="0" applyFont="1" applyFill="1" applyBorder="1" applyAlignment="1">
      <alignment vertical="center"/>
    </xf>
    <xf numFmtId="49" fontId="0" fillId="33" borderId="102" xfId="0" applyFill="1" applyBorder="1" applyAlignment="1">
      <alignment vertical="center"/>
    </xf>
    <xf numFmtId="49" fontId="20" fillId="33" borderId="104" xfId="0" applyFont="1" applyFill="1" applyBorder="1" applyAlignment="1">
      <alignment vertical="center"/>
    </xf>
    <xf numFmtId="49" fontId="4" fillId="33" borderId="21" xfId="0" applyFont="1" applyFill="1" applyBorder="1" applyAlignment="1">
      <alignment horizontal="center" vertical="center"/>
    </xf>
    <xf numFmtId="49" fontId="20" fillId="33" borderId="105" xfId="0" applyFont="1" applyFill="1" applyBorder="1" applyAlignment="1">
      <alignment vertical="center"/>
    </xf>
    <xf numFmtId="49" fontId="0" fillId="33" borderId="22" xfId="0" applyFill="1" applyBorder="1" applyAlignment="1">
      <alignment vertical="center"/>
    </xf>
    <xf numFmtId="49" fontId="20" fillId="33" borderId="106" xfId="0" applyFont="1" applyFill="1" applyBorder="1" applyAlignment="1">
      <alignment vertical="center"/>
    </xf>
    <xf numFmtId="49" fontId="4" fillId="33" borderId="22" xfId="0" applyFont="1" applyFill="1" applyBorder="1" applyAlignment="1">
      <alignment horizontal="center" vertical="center"/>
    </xf>
    <xf numFmtId="49" fontId="20" fillId="33" borderId="107" xfId="0" applyFont="1" applyFill="1" applyBorder="1" applyAlignment="1">
      <alignment vertical="center"/>
    </xf>
    <xf numFmtId="49" fontId="0" fillId="33" borderId="23" xfId="0" applyFill="1" applyBorder="1" applyAlignment="1">
      <alignment vertical="center"/>
    </xf>
    <xf numFmtId="49" fontId="22" fillId="33" borderId="108" xfId="0" applyFont="1" applyFill="1" applyBorder="1" applyAlignment="1">
      <alignment horizontal="center" vertical="center"/>
    </xf>
    <xf numFmtId="49" fontId="0" fillId="33" borderId="21" xfId="0" applyFill="1" applyBorder="1" applyAlignment="1">
      <alignment vertical="center"/>
    </xf>
    <xf numFmtId="49" fontId="20" fillId="33" borderId="109" xfId="0" applyFont="1" applyFill="1" applyBorder="1" applyAlignment="1">
      <alignment vertical="center"/>
    </xf>
    <xf numFmtId="49" fontId="20" fillId="33" borderId="110" xfId="0" applyFont="1" applyFill="1" applyBorder="1" applyAlignment="1">
      <alignment vertical="center"/>
    </xf>
    <xf numFmtId="49" fontId="20" fillId="33" borderId="109" xfId="0" applyFont="1" applyFill="1" applyBorder="1" applyAlignment="1">
      <alignment vertical="center" wrapText="1"/>
    </xf>
    <xf numFmtId="49" fontId="32" fillId="33" borderId="111" xfId="0" applyFont="1" applyFill="1" applyBorder="1" applyAlignment="1">
      <alignment vertical="center"/>
    </xf>
    <xf numFmtId="49" fontId="0" fillId="33" borderId="0" xfId="0" applyFill="1" applyBorder="1" applyAlignment="1">
      <alignment horizontal="left" vertical="center"/>
    </xf>
    <xf numFmtId="49" fontId="45" fillId="33" borderId="0" xfId="0" applyFont="1" applyFill="1" applyBorder="1" applyAlignment="1">
      <alignment horizontal="center" vertical="center"/>
    </xf>
    <xf numFmtId="49" fontId="0" fillId="33" borderId="112" xfId="0" applyFill="1" applyBorder="1" applyAlignment="1">
      <alignment vertical="center"/>
    </xf>
    <xf numFmtId="49" fontId="22" fillId="33" borderId="113" xfId="0" applyFont="1" applyFill="1" applyBorder="1" applyAlignment="1">
      <alignment/>
    </xf>
    <xf numFmtId="49" fontId="25" fillId="33" borderId="113" xfId="0" applyFont="1" applyFill="1" applyBorder="1" applyAlignment="1">
      <alignment/>
    </xf>
    <xf numFmtId="49" fontId="25" fillId="33" borderId="114" xfId="0" applyFont="1" applyFill="1" applyBorder="1" applyAlignment="1">
      <alignment/>
    </xf>
    <xf numFmtId="49" fontId="0" fillId="33" borderId="112" xfId="0" applyFill="1" applyBorder="1" applyAlignment="1">
      <alignment/>
    </xf>
    <xf numFmtId="185" fontId="25" fillId="33" borderId="0" xfId="54" applyNumberFormat="1" applyFont="1" applyFill="1" applyBorder="1">
      <alignment/>
      <protection/>
    </xf>
    <xf numFmtId="49" fontId="22" fillId="33" borderId="115" xfId="0" applyFont="1" applyFill="1" applyBorder="1" applyAlignment="1">
      <alignment horizontal="center" vertical="center" wrapText="1"/>
    </xf>
    <xf numFmtId="185" fontId="25" fillId="33" borderId="115" xfId="54" applyNumberFormat="1" applyFont="1" applyFill="1" applyBorder="1" applyAlignment="1">
      <alignment vertical="center"/>
      <protection/>
    </xf>
    <xf numFmtId="49" fontId="26" fillId="33" borderId="116" xfId="0" applyFont="1" applyFill="1" applyBorder="1" applyAlignment="1">
      <alignment vertical="center"/>
    </xf>
    <xf numFmtId="49" fontId="26" fillId="33" borderId="117" xfId="0" applyFont="1" applyFill="1" applyBorder="1" applyAlignment="1">
      <alignment vertical="center"/>
    </xf>
    <xf numFmtId="189" fontId="20" fillId="33" borderId="0" xfId="0" applyNumberFormat="1" applyFont="1" applyFill="1" applyBorder="1" applyAlignment="1">
      <alignment vertical="center"/>
    </xf>
    <xf numFmtId="49" fontId="0" fillId="33" borderId="0" xfId="0" applyFill="1" applyBorder="1" applyAlignment="1" applyProtection="1">
      <alignment horizontal="center" vertical="center"/>
      <protection locked="0"/>
    </xf>
    <xf numFmtId="49" fontId="0" fillId="33" borderId="0" xfId="0" applyFill="1" applyBorder="1" applyAlignment="1" applyProtection="1">
      <alignment horizontal="justify" vertical="center"/>
      <protection locked="0"/>
    </xf>
    <xf numFmtId="49" fontId="35" fillId="33" borderId="0" xfId="0" applyFont="1" applyFill="1" applyBorder="1" applyAlignment="1">
      <alignment horizontal="left" vertical="center"/>
    </xf>
    <xf numFmtId="178" fontId="25" fillId="33" borderId="118" xfId="50" applyFont="1" applyFill="1" applyBorder="1" applyAlignment="1">
      <alignment/>
    </xf>
    <xf numFmtId="49" fontId="0" fillId="33" borderId="0" xfId="0" applyFill="1" applyBorder="1" applyAlignment="1" applyProtection="1">
      <alignment horizontal="right"/>
      <protection locked="0"/>
    </xf>
    <xf numFmtId="49" fontId="0" fillId="33" borderId="0" xfId="0" applyFill="1" applyBorder="1" applyAlignment="1">
      <alignment horizontal="right"/>
    </xf>
    <xf numFmtId="49" fontId="20" fillId="33" borderId="110" xfId="0" applyFont="1" applyFill="1" applyBorder="1" applyAlignment="1">
      <alignment/>
    </xf>
    <xf numFmtId="49" fontId="0" fillId="33" borderId="0" xfId="0" applyFill="1" applyBorder="1" applyAlignment="1" applyProtection="1">
      <alignment horizontal="justify"/>
      <protection locked="0"/>
    </xf>
    <xf numFmtId="49" fontId="22" fillId="33" borderId="119" xfId="0" applyFont="1" applyFill="1" applyBorder="1" applyAlignment="1">
      <alignment/>
    </xf>
    <xf numFmtId="49" fontId="25" fillId="33" borderId="120" xfId="0" applyFont="1" applyFill="1" applyBorder="1" applyAlignment="1">
      <alignment/>
    </xf>
    <xf numFmtId="49" fontId="20" fillId="33" borderId="121" xfId="0" applyFont="1" applyFill="1" applyBorder="1" applyAlignment="1">
      <alignment/>
    </xf>
    <xf numFmtId="49" fontId="32" fillId="33" borderId="121" xfId="0" applyFont="1" applyFill="1" applyBorder="1" applyAlignment="1">
      <alignment/>
    </xf>
    <xf numFmtId="49" fontId="20" fillId="33" borderId="122" xfId="0" applyFont="1" applyFill="1" applyBorder="1" applyAlignment="1">
      <alignment/>
    </xf>
    <xf numFmtId="49" fontId="0" fillId="33" borderId="0" xfId="0" applyFill="1" applyBorder="1" applyAlignment="1">
      <alignment/>
    </xf>
    <xf numFmtId="49" fontId="45" fillId="33" borderId="11" xfId="0" applyFont="1" applyFill="1" applyBorder="1" applyAlignment="1">
      <alignment horizontal="center" vertical="center"/>
    </xf>
    <xf numFmtId="49" fontId="0" fillId="33" borderId="11" xfId="0" applyFill="1" applyBorder="1" applyAlignment="1">
      <alignment vertical="center"/>
    </xf>
    <xf numFmtId="49" fontId="22" fillId="33" borderId="123" xfId="0" applyFont="1" applyFill="1" applyBorder="1" applyAlignment="1">
      <alignment/>
    </xf>
    <xf numFmtId="49" fontId="25" fillId="33" borderId="14" xfId="0" applyFont="1" applyFill="1" applyBorder="1" applyAlignment="1">
      <alignment/>
    </xf>
    <xf numFmtId="49" fontId="25" fillId="33" borderId="16" xfId="0" applyFont="1" applyFill="1" applyBorder="1" applyAlignment="1">
      <alignment/>
    </xf>
    <xf numFmtId="49" fontId="0" fillId="33" borderId="0" xfId="0" applyFill="1" applyBorder="1" applyAlignment="1">
      <alignment horizontal="left"/>
    </xf>
    <xf numFmtId="188" fontId="20" fillId="33" borderId="0" xfId="0" applyNumberFormat="1" applyFont="1" applyFill="1" applyAlignment="1">
      <alignment/>
    </xf>
    <xf numFmtId="49" fontId="0" fillId="33" borderId="0" xfId="0" applyFill="1" applyBorder="1" applyAlignment="1" applyProtection="1">
      <alignment horizontal="center"/>
      <protection locked="0"/>
    </xf>
    <xf numFmtId="178" fontId="25" fillId="33" borderId="120" xfId="50" applyFont="1" applyFill="1" applyBorder="1" applyAlignment="1">
      <alignment/>
    </xf>
    <xf numFmtId="49" fontId="0" fillId="33" borderId="0" xfId="0" applyFill="1" applyBorder="1" applyAlignment="1" applyProtection="1">
      <alignment horizontal="fill"/>
      <protection locked="0"/>
    </xf>
    <xf numFmtId="49" fontId="12" fillId="33" borderId="0" xfId="0" applyFont="1" applyFill="1" applyAlignment="1">
      <alignment/>
    </xf>
    <xf numFmtId="49" fontId="21" fillId="33" borderId="100" xfId="0" applyFont="1" applyFill="1" applyBorder="1" applyAlignment="1">
      <alignment/>
    </xf>
    <xf numFmtId="49" fontId="20" fillId="33" borderId="100" xfId="0" applyFont="1" applyFill="1" applyBorder="1" applyAlignment="1">
      <alignment/>
    </xf>
    <xf numFmtId="49" fontId="21" fillId="33" borderId="29" xfId="0" applyFont="1" applyFill="1" applyBorder="1" applyAlignment="1">
      <alignment/>
    </xf>
    <xf numFmtId="49" fontId="20" fillId="33" borderId="29" xfId="0" applyFont="1" applyFill="1" applyBorder="1" applyAlignment="1">
      <alignment/>
    </xf>
    <xf numFmtId="49" fontId="0" fillId="33" borderId="100" xfId="0" applyFill="1" applyBorder="1" applyAlignment="1">
      <alignment/>
    </xf>
    <xf numFmtId="49" fontId="37" fillId="33" borderId="0" xfId="0" applyFont="1" applyFill="1" applyBorder="1" applyAlignment="1">
      <alignment/>
    </xf>
    <xf numFmtId="49" fontId="0" fillId="33" borderId="29" xfId="0" applyFill="1" applyBorder="1" applyAlignment="1">
      <alignment/>
    </xf>
    <xf numFmtId="49" fontId="0" fillId="33" borderId="12" xfId="0" applyFill="1" applyBorder="1" applyAlignment="1">
      <alignment vertical="center"/>
    </xf>
    <xf numFmtId="49" fontId="21" fillId="33" borderId="100" xfId="0" applyFont="1" applyFill="1" applyBorder="1" applyAlignment="1">
      <alignment vertical="center"/>
    </xf>
    <xf numFmtId="49" fontId="20" fillId="33" borderId="100" xfId="0" applyFont="1" applyFill="1" applyBorder="1" applyAlignment="1">
      <alignment vertical="center"/>
    </xf>
    <xf numFmtId="49" fontId="0" fillId="33" borderId="100" xfId="0" applyFill="1" applyBorder="1" applyAlignment="1">
      <alignment vertical="center"/>
    </xf>
    <xf numFmtId="49" fontId="21" fillId="33" borderId="29" xfId="0" applyFont="1" applyFill="1" applyBorder="1" applyAlignment="1">
      <alignment vertical="center"/>
    </xf>
    <xf numFmtId="49" fontId="20" fillId="33" borderId="29" xfId="0" applyFont="1" applyFill="1" applyBorder="1" applyAlignment="1">
      <alignment vertical="center"/>
    </xf>
    <xf numFmtId="49" fontId="20" fillId="33" borderId="109" xfId="0" applyFont="1" applyFill="1" applyBorder="1" applyAlignment="1">
      <alignment horizontal="left" vertical="center" wrapText="1"/>
    </xf>
    <xf numFmtId="0" fontId="6" fillId="0" borderId="0" xfId="55" applyFont="1">
      <alignment/>
      <protection/>
    </xf>
    <xf numFmtId="0" fontId="6" fillId="0" borderId="0" xfId="55" applyFont="1" applyBorder="1">
      <alignment/>
      <protection/>
    </xf>
    <xf numFmtId="0" fontId="3" fillId="36" borderId="43" xfId="55" applyFont="1" applyFill="1" applyBorder="1" applyAlignment="1">
      <alignment horizontal="center"/>
      <protection/>
    </xf>
    <xf numFmtId="0" fontId="3" fillId="36" borderId="44" xfId="55" applyFont="1" applyFill="1" applyBorder="1" applyAlignment="1">
      <alignment horizontal="center"/>
      <protection/>
    </xf>
    <xf numFmtId="0" fontId="3" fillId="36" borderId="45" xfId="55" applyFont="1" applyFill="1" applyBorder="1" applyAlignment="1">
      <alignment horizontal="center"/>
      <protection/>
    </xf>
    <xf numFmtId="0" fontId="6" fillId="0" borderId="46" xfId="55" applyFont="1" applyBorder="1">
      <alignment/>
      <protection/>
    </xf>
    <xf numFmtId="0" fontId="6" fillId="0" borderId="47" xfId="55" applyFont="1" applyBorder="1">
      <alignment/>
      <protection/>
    </xf>
    <xf numFmtId="203" fontId="6" fillId="0" borderId="48" xfId="55" applyNumberFormat="1" applyFont="1" applyBorder="1">
      <alignment/>
      <protection/>
    </xf>
    <xf numFmtId="0" fontId="49" fillId="37" borderId="46" xfId="55" applyFont="1" applyFill="1" applyBorder="1">
      <alignment/>
      <protection/>
    </xf>
    <xf numFmtId="203" fontId="6" fillId="0" borderId="48" xfId="55" applyNumberFormat="1" applyFont="1" applyBorder="1" applyAlignment="1">
      <alignment horizontal="center"/>
      <protection/>
    </xf>
    <xf numFmtId="0" fontId="49" fillId="0" borderId="46" xfId="55" applyFont="1" applyFill="1" applyBorder="1">
      <alignment/>
      <protection/>
    </xf>
    <xf numFmtId="0" fontId="7" fillId="0" borderId="46" xfId="55" applyFont="1" applyFill="1" applyBorder="1">
      <alignment/>
      <protection/>
    </xf>
    <xf numFmtId="0" fontId="6" fillId="0" borderId="47" xfId="55" applyFont="1" applyFill="1" applyBorder="1">
      <alignment/>
      <protection/>
    </xf>
    <xf numFmtId="0" fontId="6" fillId="0" borderId="46" xfId="55" applyFont="1" applyFill="1" applyBorder="1">
      <alignment/>
      <protection/>
    </xf>
    <xf numFmtId="49" fontId="6" fillId="0" borderId="46" xfId="0" applyFont="1" applyFill="1" applyBorder="1" applyAlignment="1">
      <alignment/>
    </xf>
    <xf numFmtId="0" fontId="7" fillId="0" borderId="46" xfId="55" applyFont="1" applyBorder="1">
      <alignment/>
      <protection/>
    </xf>
    <xf numFmtId="178" fontId="6" fillId="0" borderId="48" xfId="50" applyFont="1" applyFill="1" applyBorder="1" applyAlignment="1">
      <alignment horizontal="center"/>
    </xf>
    <xf numFmtId="49" fontId="6" fillId="0" borderId="46" xfId="0" applyFont="1" applyFill="1" applyBorder="1" applyAlignment="1">
      <alignment/>
    </xf>
    <xf numFmtId="49" fontId="12" fillId="0" borderId="0" xfId="0" applyFont="1" applyAlignment="1">
      <alignment/>
    </xf>
    <xf numFmtId="203" fontId="6" fillId="0" borderId="48" xfId="0" applyNumberFormat="1" applyFont="1" applyFill="1" applyBorder="1" applyAlignment="1">
      <alignment horizontal="center"/>
    </xf>
    <xf numFmtId="49" fontId="7" fillId="0" borderId="46" xfId="0" applyFont="1" applyFill="1" applyBorder="1" applyAlignment="1">
      <alignment/>
    </xf>
    <xf numFmtId="49" fontId="6" fillId="0" borderId="0" xfId="0" applyFont="1" applyAlignment="1">
      <alignment/>
    </xf>
    <xf numFmtId="203" fontId="6" fillId="0" borderId="48" xfId="55" applyNumberFormat="1" applyFont="1" applyFill="1" applyBorder="1" applyAlignment="1">
      <alignment horizontal="center"/>
      <protection/>
    </xf>
    <xf numFmtId="0" fontId="6" fillId="0" borderId="49" xfId="55" applyFont="1" applyFill="1" applyBorder="1">
      <alignment/>
      <protection/>
    </xf>
    <xf numFmtId="0" fontId="6" fillId="0" borderId="50" xfId="55" applyFont="1" applyFill="1" applyBorder="1">
      <alignment/>
      <protection/>
    </xf>
    <xf numFmtId="203" fontId="6" fillId="0" borderId="51" xfId="55" applyNumberFormat="1" applyFont="1" applyFill="1" applyBorder="1" applyAlignment="1">
      <alignment horizontal="center"/>
      <protection/>
    </xf>
    <xf numFmtId="0" fontId="6" fillId="0" borderId="0" xfId="55" applyFont="1" applyFill="1" applyBorder="1">
      <alignment/>
      <protection/>
    </xf>
    <xf numFmtId="203" fontId="6" fillId="0" borderId="0" xfId="55" applyNumberFormat="1" applyFont="1" applyFill="1" applyBorder="1" applyAlignment="1">
      <alignment horizontal="center"/>
      <protection/>
    </xf>
    <xf numFmtId="0" fontId="49" fillId="37" borderId="43" xfId="55" applyFont="1" applyFill="1" applyBorder="1">
      <alignment/>
      <protection/>
    </xf>
    <xf numFmtId="0" fontId="6" fillId="0" borderId="44" xfId="55" applyFont="1" applyFill="1" applyBorder="1">
      <alignment/>
      <protection/>
    </xf>
    <xf numFmtId="203" fontId="6" fillId="0" borderId="45" xfId="55" applyNumberFormat="1" applyFont="1" applyFill="1" applyBorder="1" applyAlignment="1">
      <alignment horizontal="center"/>
      <protection/>
    </xf>
    <xf numFmtId="0" fontId="7" fillId="0" borderId="0" xfId="55" applyFont="1">
      <alignment/>
      <protection/>
    </xf>
    <xf numFmtId="178" fontId="6" fillId="0" borderId="48" xfId="50" applyFont="1" applyBorder="1" applyAlignment="1">
      <alignment horizontal="center"/>
    </xf>
    <xf numFmtId="0" fontId="6" fillId="0" borderId="0" xfId="55" applyFont="1" applyFill="1">
      <alignment/>
      <protection/>
    </xf>
    <xf numFmtId="49" fontId="6" fillId="0" borderId="50" xfId="0" applyFont="1" applyFill="1" applyBorder="1" applyAlignment="1">
      <alignment/>
    </xf>
    <xf numFmtId="178" fontId="6" fillId="0" borderId="51" xfId="50" applyFont="1" applyFill="1" applyBorder="1" applyAlignment="1">
      <alignment horizontal="center"/>
    </xf>
    <xf numFmtId="203" fontId="6" fillId="0" borderId="0" xfId="55" applyNumberFormat="1" applyFont="1" applyBorder="1" applyAlignment="1">
      <alignment horizontal="center"/>
      <protection/>
    </xf>
    <xf numFmtId="0" fontId="6" fillId="0" borderId="44" xfId="55" applyFont="1" applyBorder="1">
      <alignment/>
      <protection/>
    </xf>
    <xf numFmtId="203" fontId="6" fillId="0" borderId="45" xfId="55" applyNumberFormat="1" applyFont="1" applyBorder="1" applyAlignment="1">
      <alignment horizontal="center"/>
      <protection/>
    </xf>
    <xf numFmtId="0" fontId="6" fillId="38" borderId="46" xfId="55" applyFont="1" applyFill="1" applyBorder="1">
      <alignment/>
      <protection/>
    </xf>
    <xf numFmtId="49" fontId="6" fillId="38" borderId="47" xfId="0" applyFont="1" applyFill="1" applyBorder="1" applyAlignment="1">
      <alignment/>
    </xf>
    <xf numFmtId="0" fontId="6" fillId="38" borderId="47" xfId="55" applyFont="1" applyFill="1" applyBorder="1">
      <alignment/>
      <protection/>
    </xf>
    <xf numFmtId="178" fontId="6" fillId="38" borderId="48" xfId="50" applyFont="1" applyFill="1" applyBorder="1" applyAlignment="1">
      <alignment horizontal="center"/>
    </xf>
    <xf numFmtId="203" fontId="7" fillId="39" borderId="48" xfId="0" applyNumberFormat="1" applyFont="1" applyFill="1" applyBorder="1" applyAlignment="1">
      <alignment horizontal="center"/>
    </xf>
    <xf numFmtId="178" fontId="6" fillId="0" borderId="45" xfId="50" applyFont="1" applyBorder="1" applyAlignment="1">
      <alignment horizontal="center"/>
    </xf>
    <xf numFmtId="203" fontId="6" fillId="0" borderId="51" xfId="0" applyNumberFormat="1" applyFont="1" applyFill="1" applyBorder="1" applyAlignment="1">
      <alignment horizontal="center"/>
    </xf>
    <xf numFmtId="0" fontId="6" fillId="0" borderId="99" xfId="55" applyFont="1" applyFill="1" applyBorder="1">
      <alignment/>
      <protection/>
    </xf>
    <xf numFmtId="49" fontId="6" fillId="0" borderId="99" xfId="0" applyFont="1" applyFill="1" applyBorder="1" applyAlignment="1">
      <alignment/>
    </xf>
    <xf numFmtId="178" fontId="6" fillId="0" borderId="12" xfId="50" applyFont="1" applyFill="1" applyBorder="1" applyAlignment="1">
      <alignment horizontal="center"/>
    </xf>
    <xf numFmtId="0" fontId="7" fillId="0" borderId="124" xfId="55" applyFont="1" applyFill="1" applyBorder="1">
      <alignment/>
      <protection/>
    </xf>
    <xf numFmtId="0" fontId="7" fillId="0" borderId="20" xfId="55" applyFont="1" applyFill="1" applyBorder="1">
      <alignment/>
      <protection/>
    </xf>
    <xf numFmtId="49" fontId="6" fillId="0" borderId="13" xfId="0" applyFont="1" applyFill="1" applyBorder="1" applyAlignment="1">
      <alignment/>
    </xf>
    <xf numFmtId="203" fontId="6" fillId="0" borderId="125" xfId="0" applyNumberFormat="1" applyFont="1" applyFill="1" applyBorder="1" applyAlignment="1">
      <alignment horizontal="center"/>
    </xf>
    <xf numFmtId="49" fontId="7" fillId="0" borderId="20" xfId="55" applyNumberFormat="1" applyFont="1" applyFill="1" applyBorder="1">
      <alignment/>
      <protection/>
    </xf>
    <xf numFmtId="203" fontId="6" fillId="0" borderId="0" xfId="55" applyNumberFormat="1" applyFont="1" applyAlignment="1">
      <alignment horizontal="center"/>
      <protection/>
    </xf>
    <xf numFmtId="204" fontId="6" fillId="0" borderId="0" xfId="55" applyNumberFormat="1" applyFont="1" applyAlignment="1">
      <alignment horizontal="center"/>
      <protection/>
    </xf>
    <xf numFmtId="204" fontId="6" fillId="0" borderId="0" xfId="55" applyNumberFormat="1" applyFont="1">
      <alignment/>
      <protection/>
    </xf>
    <xf numFmtId="0" fontId="6" fillId="0" borderId="46" xfId="55" applyFont="1" applyBorder="1" applyAlignment="1">
      <alignment horizontal="left"/>
      <protection/>
    </xf>
    <xf numFmtId="0" fontId="6" fillId="0" borderId="46" xfId="55" applyFont="1" applyFill="1" applyBorder="1" applyAlignment="1">
      <alignment horizontal="left"/>
      <protection/>
    </xf>
    <xf numFmtId="0" fontId="12" fillId="0" borderId="0" xfId="55" applyFont="1">
      <alignment/>
      <protection/>
    </xf>
    <xf numFmtId="0" fontId="12" fillId="0" borderId="0" xfId="55" applyFont="1" applyBorder="1">
      <alignment/>
      <protection/>
    </xf>
    <xf numFmtId="49" fontId="12" fillId="0" borderId="0" xfId="0" applyFont="1" applyBorder="1" applyAlignment="1">
      <alignment/>
    </xf>
    <xf numFmtId="0" fontId="12" fillId="0" borderId="46" xfId="55" applyFont="1" applyBorder="1">
      <alignment/>
      <protection/>
    </xf>
    <xf numFmtId="0" fontId="12" fillId="0" borderId="48" xfId="55" applyFont="1" applyBorder="1">
      <alignment/>
      <protection/>
    </xf>
    <xf numFmtId="0" fontId="50" fillId="40" borderId="46" xfId="55" applyFont="1" applyFill="1" applyBorder="1">
      <alignment/>
      <protection/>
    </xf>
    <xf numFmtId="0" fontId="6" fillId="0" borderId="48" xfId="55" applyFont="1" applyBorder="1">
      <alignment/>
      <protection/>
    </xf>
    <xf numFmtId="49" fontId="6" fillId="0" borderId="0" xfId="0" applyFont="1" applyAlignment="1">
      <alignment/>
    </xf>
    <xf numFmtId="0" fontId="50" fillId="0" borderId="46" xfId="55" applyFont="1" applyFill="1" applyBorder="1">
      <alignment/>
      <protection/>
    </xf>
    <xf numFmtId="0" fontId="6" fillId="0" borderId="48" xfId="55" applyFont="1" applyFill="1" applyBorder="1">
      <alignment/>
      <protection/>
    </xf>
    <xf numFmtId="49" fontId="6" fillId="0" borderId="0" xfId="0" applyFont="1" applyFill="1" applyAlignment="1">
      <alignment/>
    </xf>
    <xf numFmtId="49" fontId="6" fillId="0" borderId="48" xfId="0" applyFont="1" applyFill="1" applyBorder="1" applyAlignment="1">
      <alignment/>
    </xf>
    <xf numFmtId="203" fontId="6" fillId="0" borderId="0" xfId="0" applyNumberFormat="1" applyFont="1" applyFill="1" applyBorder="1" applyAlignment="1">
      <alignment horizontal="center"/>
    </xf>
    <xf numFmtId="49" fontId="7" fillId="0" borderId="0" xfId="0" applyFont="1" applyFill="1" applyAlignment="1">
      <alignment/>
    </xf>
    <xf numFmtId="0" fontId="6" fillId="41" borderId="46" xfId="55" applyFont="1" applyFill="1" applyBorder="1">
      <alignment/>
      <protection/>
    </xf>
    <xf numFmtId="0" fontId="6" fillId="41" borderId="48" xfId="55" applyFont="1" applyFill="1" applyBorder="1">
      <alignment/>
      <protection/>
    </xf>
    <xf numFmtId="0" fontId="7" fillId="36" borderId="43" xfId="55" applyFont="1" applyFill="1" applyBorder="1" applyAlignment="1">
      <alignment horizontal="center"/>
      <protection/>
    </xf>
    <xf numFmtId="0" fontId="7" fillId="36" borderId="45" xfId="55" applyFont="1" applyFill="1" applyBorder="1" applyAlignment="1">
      <alignment horizontal="center"/>
      <protection/>
    </xf>
    <xf numFmtId="49" fontId="6" fillId="38" borderId="48" xfId="0" applyFont="1" applyFill="1" applyBorder="1" applyAlignment="1">
      <alignment/>
    </xf>
    <xf numFmtId="0" fontId="6" fillId="41" borderId="49" xfId="55" applyFont="1" applyFill="1" applyBorder="1">
      <alignment/>
      <protection/>
    </xf>
    <xf numFmtId="0" fontId="6" fillId="41" borderId="51" xfId="55" applyFont="1" applyFill="1" applyBorder="1">
      <alignment/>
      <protection/>
    </xf>
    <xf numFmtId="0" fontId="6" fillId="38" borderId="49" xfId="55" applyFont="1" applyFill="1" applyBorder="1">
      <alignment/>
      <protection/>
    </xf>
    <xf numFmtId="49" fontId="6" fillId="38" borderId="51" xfId="0" applyFont="1" applyFill="1" applyBorder="1" applyAlignment="1">
      <alignment/>
    </xf>
    <xf numFmtId="0" fontId="7" fillId="0" borderId="0" xfId="55" applyFont="1" applyFill="1" applyBorder="1">
      <alignment/>
      <protection/>
    </xf>
    <xf numFmtId="49" fontId="6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 horizontal="center"/>
    </xf>
    <xf numFmtId="9" fontId="5" fillId="0" borderId="0" xfId="57" applyFont="1" applyFill="1" applyAlignment="1">
      <alignment horizontal="center"/>
    </xf>
    <xf numFmtId="9" fontId="5" fillId="0" borderId="0" xfId="0" applyNumberFormat="1" applyFont="1" applyAlignment="1">
      <alignment horizontal="center"/>
    </xf>
    <xf numFmtId="3" fontId="0" fillId="33" borderId="0" xfId="57" applyNumberFormat="1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180" fontId="25" fillId="33" borderId="120" xfId="50" applyNumberFormat="1" applyFont="1" applyFill="1" applyBorder="1" applyAlignment="1">
      <alignment vertical="center"/>
    </xf>
    <xf numFmtId="180" fontId="25" fillId="33" borderId="118" xfId="50" applyNumberFormat="1" applyFont="1" applyFill="1" applyBorder="1" applyAlignment="1">
      <alignment/>
    </xf>
    <xf numFmtId="180" fontId="25" fillId="33" borderId="13" xfId="50" applyNumberFormat="1" applyFont="1" applyFill="1" applyBorder="1" applyAlignment="1">
      <alignment vertical="center"/>
    </xf>
    <xf numFmtId="180" fontId="25" fillId="33" borderId="126" xfId="50" applyNumberFormat="1" applyFont="1" applyFill="1" applyBorder="1" applyAlignment="1">
      <alignment/>
    </xf>
    <xf numFmtId="180" fontId="25" fillId="33" borderId="127" xfId="50" applyNumberFormat="1" applyFont="1" applyFill="1" applyBorder="1" applyAlignment="1">
      <alignment vertical="center"/>
    </xf>
    <xf numFmtId="180" fontId="25" fillId="33" borderId="128" xfId="50" applyNumberFormat="1" applyFont="1" applyFill="1" applyBorder="1" applyAlignment="1">
      <alignment vertical="center"/>
    </xf>
    <xf numFmtId="180" fontId="25" fillId="33" borderId="129" xfId="50" applyNumberFormat="1" applyFont="1" applyFill="1" applyBorder="1" applyAlignment="1">
      <alignment/>
    </xf>
    <xf numFmtId="180" fontId="25" fillId="33" borderId="101" xfId="50" applyNumberFormat="1" applyFont="1" applyFill="1" applyBorder="1" applyAlignment="1">
      <alignment vertical="center"/>
    </xf>
    <xf numFmtId="180" fontId="25" fillId="33" borderId="130" xfId="50" applyNumberFormat="1" applyFont="1" applyFill="1" applyBorder="1" applyAlignment="1">
      <alignment/>
    </xf>
    <xf numFmtId="180" fontId="36" fillId="33" borderId="128" xfId="50" applyNumberFormat="1" applyFont="1" applyFill="1" applyBorder="1" applyAlignment="1">
      <alignment vertical="center"/>
    </xf>
    <xf numFmtId="180" fontId="26" fillId="33" borderId="25" xfId="50" applyNumberFormat="1" applyFont="1" applyFill="1" applyBorder="1" applyAlignment="1">
      <alignment vertical="center"/>
    </xf>
    <xf numFmtId="180" fontId="25" fillId="33" borderId="131" xfId="50" applyNumberFormat="1" applyFont="1" applyFill="1" applyBorder="1" applyAlignment="1">
      <alignment/>
    </xf>
    <xf numFmtId="180" fontId="7" fillId="42" borderId="13" xfId="50" applyNumberFormat="1" applyFont="1" applyFill="1" applyBorder="1" applyAlignment="1">
      <alignment horizontal="center" vertical="center"/>
    </xf>
    <xf numFmtId="180" fontId="25" fillId="33" borderId="109" xfId="50" applyNumberFormat="1" applyFont="1" applyFill="1" applyBorder="1" applyAlignment="1">
      <alignment/>
    </xf>
    <xf numFmtId="180" fontId="25" fillId="33" borderId="132" xfId="50" applyNumberFormat="1" applyFont="1" applyFill="1" applyBorder="1" applyAlignment="1">
      <alignment/>
    </xf>
    <xf numFmtId="180" fontId="25" fillId="33" borderId="97" xfId="50" applyNumberFormat="1" applyFont="1" applyFill="1" applyBorder="1" applyAlignment="1">
      <alignment/>
    </xf>
    <xf numFmtId="180" fontId="26" fillId="33" borderId="25" xfId="50" applyNumberFormat="1" applyFont="1" applyFill="1" applyBorder="1" applyAlignment="1">
      <alignment/>
    </xf>
    <xf numFmtId="180" fontId="25" fillId="33" borderId="127" xfId="50" applyNumberFormat="1" applyFont="1" applyFill="1" applyBorder="1" applyAlignment="1">
      <alignment/>
    </xf>
    <xf numFmtId="180" fontId="25" fillId="33" borderId="128" xfId="50" applyNumberFormat="1" applyFont="1" applyFill="1" applyBorder="1" applyAlignment="1">
      <alignment/>
    </xf>
    <xf numFmtId="180" fontId="46" fillId="0" borderId="133" xfId="50" applyNumberFormat="1" applyFont="1" applyBorder="1" applyAlignment="1">
      <alignment horizontal="right" vertical="center"/>
    </xf>
    <xf numFmtId="180" fontId="25" fillId="33" borderId="134" xfId="50" applyNumberFormat="1" applyFont="1" applyFill="1" applyBorder="1" applyAlignment="1">
      <alignment vertical="center"/>
    </xf>
    <xf numFmtId="180" fontId="26" fillId="33" borderId="135" xfId="50" applyNumberFormat="1" applyFont="1" applyFill="1" applyBorder="1" applyAlignment="1">
      <alignment/>
    </xf>
    <xf numFmtId="180" fontId="46" fillId="0" borderId="99" xfId="50" applyNumberFormat="1" applyFont="1" applyBorder="1" applyAlignment="1">
      <alignment horizontal="right" vertical="center"/>
    </xf>
    <xf numFmtId="180" fontId="25" fillId="33" borderId="136" xfId="0" applyNumberFormat="1" applyFont="1" applyFill="1" applyBorder="1" applyAlignment="1">
      <alignment/>
    </xf>
    <xf numFmtId="180" fontId="46" fillId="0" borderId="13" xfId="50" applyNumberFormat="1" applyFont="1" applyBorder="1" applyAlignment="1">
      <alignment horizontal="right" vertical="center"/>
    </xf>
    <xf numFmtId="180" fontId="25" fillId="33" borderId="126" xfId="0" applyNumberFormat="1" applyFont="1" applyFill="1" applyBorder="1" applyAlignment="1">
      <alignment/>
    </xf>
    <xf numFmtId="180" fontId="3" fillId="0" borderId="137" xfId="50" applyNumberFormat="1" applyFont="1" applyBorder="1" applyAlignment="1">
      <alignment horizontal="right" vertical="center"/>
    </xf>
    <xf numFmtId="180" fontId="26" fillId="33" borderId="135" xfId="50" applyNumberFormat="1" applyFont="1" applyFill="1" applyBorder="1" applyAlignment="1">
      <alignment vertical="center"/>
    </xf>
    <xf numFmtId="180" fontId="25" fillId="33" borderId="108" xfId="50" applyNumberFormat="1" applyFont="1" applyFill="1" applyBorder="1" applyAlignment="1">
      <alignment/>
    </xf>
    <xf numFmtId="180" fontId="25" fillId="33" borderId="138" xfId="50" applyNumberFormat="1" applyFont="1" applyFill="1" applyBorder="1" applyAlignment="1">
      <alignment/>
    </xf>
    <xf numFmtId="180" fontId="25" fillId="33" borderId="139" xfId="50" applyNumberFormat="1" applyFont="1" applyFill="1" applyBorder="1" applyAlignment="1">
      <alignment/>
    </xf>
    <xf numFmtId="180" fontId="25" fillId="33" borderId="140" xfId="50" applyNumberFormat="1" applyFont="1" applyFill="1" applyBorder="1" applyAlignment="1">
      <alignment/>
    </xf>
    <xf numFmtId="180" fontId="25" fillId="33" borderId="141" xfId="50" applyNumberFormat="1" applyFont="1" applyFill="1" applyBorder="1" applyAlignment="1">
      <alignment/>
    </xf>
    <xf numFmtId="180" fontId="25" fillId="33" borderId="13" xfId="50" applyNumberFormat="1" applyFont="1" applyFill="1" applyBorder="1" applyAlignment="1">
      <alignment/>
    </xf>
    <xf numFmtId="180" fontId="25" fillId="33" borderId="125" xfId="50" applyNumberFormat="1" applyFont="1" applyFill="1" applyBorder="1" applyAlignment="1">
      <alignment/>
    </xf>
    <xf numFmtId="180" fontId="25" fillId="33" borderId="115" xfId="50" applyNumberFormat="1" applyFont="1" applyFill="1" applyBorder="1" applyAlignment="1">
      <alignment/>
    </xf>
    <xf numFmtId="180" fontId="25" fillId="33" borderId="142" xfId="50" applyNumberFormat="1" applyFont="1" applyFill="1" applyBorder="1" applyAlignment="1">
      <alignment/>
    </xf>
    <xf numFmtId="180" fontId="25" fillId="33" borderId="137" xfId="50" applyNumberFormat="1" applyFont="1" applyFill="1" applyBorder="1" applyAlignment="1">
      <alignment/>
    </xf>
    <xf numFmtId="180" fontId="25" fillId="33" borderId="143" xfId="50" applyNumberFormat="1" applyFont="1" applyFill="1" applyBorder="1" applyAlignment="1">
      <alignment/>
    </xf>
    <xf numFmtId="180" fontId="26" fillId="33" borderId="144" xfId="50" applyNumberFormat="1" applyFont="1" applyFill="1" applyBorder="1" applyAlignment="1">
      <alignment/>
    </xf>
    <xf numFmtId="180" fontId="26" fillId="33" borderId="133" xfId="50" applyNumberFormat="1" applyFont="1" applyFill="1" applyBorder="1" applyAlignment="1">
      <alignment/>
    </xf>
    <xf numFmtId="180" fontId="26" fillId="33" borderId="145" xfId="50" applyNumberFormat="1" applyFont="1" applyFill="1" applyBorder="1" applyAlignment="1">
      <alignment/>
    </xf>
    <xf numFmtId="180" fontId="26" fillId="33" borderId="114" xfId="50" applyNumberFormat="1" applyFont="1" applyFill="1" applyBorder="1" applyAlignment="1">
      <alignment/>
    </xf>
    <xf numFmtId="206" fontId="6" fillId="0" borderId="0" xfId="55" applyNumberFormat="1" applyFont="1">
      <alignment/>
      <protection/>
    </xf>
    <xf numFmtId="0" fontId="6" fillId="0" borderId="146" xfId="55" applyFont="1" applyFill="1" applyBorder="1">
      <alignment/>
      <protection/>
    </xf>
    <xf numFmtId="0" fontId="6" fillId="0" borderId="93" xfId="55" applyFont="1" applyFill="1" applyBorder="1">
      <alignment/>
      <protection/>
    </xf>
    <xf numFmtId="178" fontId="6" fillId="0" borderId="147" xfId="50" applyFont="1" applyFill="1" applyBorder="1" applyAlignment="1">
      <alignment horizontal="center"/>
    </xf>
    <xf numFmtId="0" fontId="6" fillId="0" borderId="148" xfId="55" applyFont="1" applyFill="1" applyBorder="1">
      <alignment/>
      <protection/>
    </xf>
    <xf numFmtId="0" fontId="6" fillId="0" borderId="149" xfId="55" applyFont="1" applyFill="1" applyBorder="1">
      <alignment/>
      <protection/>
    </xf>
    <xf numFmtId="178" fontId="6" fillId="0" borderId="150" xfId="50" applyFont="1" applyFill="1" applyBorder="1" applyAlignment="1">
      <alignment horizontal="center"/>
    </xf>
    <xf numFmtId="178" fontId="6" fillId="0" borderId="0" xfId="50" applyFont="1" applyFill="1" applyBorder="1" applyAlignment="1">
      <alignment horizontal="center"/>
    </xf>
    <xf numFmtId="49" fontId="0" fillId="0" borderId="84" xfId="0" applyBorder="1" applyAlignment="1">
      <alignment/>
    </xf>
    <xf numFmtId="9" fontId="0" fillId="0" borderId="85" xfId="0" applyNumberFormat="1" applyBorder="1" applyAlignment="1">
      <alignment/>
    </xf>
    <xf numFmtId="178" fontId="0" fillId="0" borderId="47" xfId="50" applyBorder="1" applyAlignment="1">
      <alignment/>
    </xf>
    <xf numFmtId="178" fontId="0" fillId="0" borderId="85" xfId="50" applyBorder="1" applyAlignment="1">
      <alignment/>
    </xf>
    <xf numFmtId="9" fontId="0" fillId="0" borderId="47" xfId="57" applyBorder="1" applyAlignment="1">
      <alignment/>
    </xf>
    <xf numFmtId="9" fontId="0" fillId="0" borderId="85" xfId="57" applyBorder="1" applyAlignment="1">
      <alignment/>
    </xf>
    <xf numFmtId="49" fontId="0" fillId="0" borderId="84" xfId="0" applyFont="1" applyBorder="1" applyAlignment="1">
      <alignment/>
    </xf>
    <xf numFmtId="9" fontId="0" fillId="0" borderId="85" xfId="57" applyFont="1" applyBorder="1" applyAlignment="1">
      <alignment/>
    </xf>
    <xf numFmtId="191" fontId="0" fillId="0" borderId="85" xfId="57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2" fontId="0" fillId="0" borderId="85" xfId="0" applyNumberFormat="1" applyFont="1" applyBorder="1" applyAlignment="1">
      <alignment/>
    </xf>
    <xf numFmtId="49" fontId="0" fillId="0" borderId="47" xfId="0" applyFont="1" applyBorder="1" applyAlignment="1">
      <alignment/>
    </xf>
    <xf numFmtId="49" fontId="0" fillId="0" borderId="85" xfId="0" applyFont="1" applyBorder="1" applyAlignment="1">
      <alignment/>
    </xf>
    <xf numFmtId="49" fontId="0" fillId="0" borderId="86" xfId="0" applyFont="1" applyFill="1" applyBorder="1" applyAlignment="1">
      <alignment/>
    </xf>
    <xf numFmtId="0" fontId="0" fillId="0" borderId="87" xfId="0" applyNumberFormat="1" applyFont="1" applyBorder="1" applyAlignment="1">
      <alignment/>
    </xf>
    <xf numFmtId="0" fontId="0" fillId="0" borderId="88" xfId="0" applyNumberFormat="1" applyFont="1" applyBorder="1" applyAlignment="1">
      <alignment/>
    </xf>
    <xf numFmtId="49" fontId="0" fillId="0" borderId="151" xfId="0" applyBorder="1" applyAlignment="1">
      <alignment/>
    </xf>
    <xf numFmtId="9" fontId="0" fillId="0" borderId="70" xfId="57" applyNumberFormat="1" applyBorder="1" applyAlignment="1">
      <alignment/>
    </xf>
    <xf numFmtId="9" fontId="0" fillId="0" borderId="152" xfId="57" applyNumberFormat="1" applyBorder="1" applyAlignment="1">
      <alignment/>
    </xf>
    <xf numFmtId="49" fontId="41" fillId="0" borderId="0" xfId="0" applyFont="1" applyAlignment="1">
      <alignment/>
    </xf>
    <xf numFmtId="49" fontId="5" fillId="36" borderId="30" xfId="0" applyFont="1" applyFill="1" applyBorder="1" applyAlignment="1">
      <alignment horizontal="center"/>
    </xf>
    <xf numFmtId="3" fontId="4" fillId="36" borderId="30" xfId="0" applyNumberFormat="1" applyFont="1" applyFill="1" applyBorder="1" applyAlignment="1">
      <alignment/>
    </xf>
    <xf numFmtId="3" fontId="4" fillId="0" borderId="38" xfId="0" applyNumberFormat="1" applyFont="1" applyBorder="1" applyAlignment="1">
      <alignment/>
    </xf>
    <xf numFmtId="3" fontId="41" fillId="0" borderId="38" xfId="0" applyNumberFormat="1" applyFont="1" applyBorder="1" applyAlignment="1">
      <alignment/>
    </xf>
    <xf numFmtId="49" fontId="4" fillId="36" borderId="30" xfId="0" applyFont="1" applyFill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68" xfId="0" applyNumberFormat="1" applyFont="1" applyBorder="1" applyAlignment="1">
      <alignment/>
    </xf>
    <xf numFmtId="192" fontId="0" fillId="0" borderId="40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49" fontId="9" fillId="0" borderId="38" xfId="0" applyFont="1" applyBorder="1" applyAlignment="1">
      <alignment/>
    </xf>
    <xf numFmtId="49" fontId="4" fillId="0" borderId="38" xfId="0" applyFont="1" applyBorder="1" applyAlignment="1">
      <alignment/>
    </xf>
    <xf numFmtId="49" fontId="4" fillId="0" borderId="68" xfId="0" applyFont="1" applyBorder="1" applyAlignment="1">
      <alignment/>
    </xf>
    <xf numFmtId="49" fontId="4" fillId="0" borderId="69" xfId="0" applyFont="1" applyBorder="1" applyAlignment="1">
      <alignment/>
    </xf>
    <xf numFmtId="49" fontId="41" fillId="0" borderId="38" xfId="0" applyFont="1" applyBorder="1" applyAlignment="1">
      <alignment/>
    </xf>
    <xf numFmtId="49" fontId="0" fillId="0" borderId="38" xfId="0" applyFont="1" applyBorder="1" applyAlignment="1">
      <alignment/>
    </xf>
    <xf numFmtId="3" fontId="9" fillId="0" borderId="0" xfId="0" applyNumberFormat="1" applyFont="1" applyAlignment="1">
      <alignment/>
    </xf>
    <xf numFmtId="49" fontId="52" fillId="0" borderId="0" xfId="0" applyFont="1" applyAlignment="1">
      <alignment/>
    </xf>
    <xf numFmtId="0" fontId="9" fillId="0" borderId="0" xfId="0" applyNumberFormat="1" applyFont="1" applyAlignment="1">
      <alignment/>
    </xf>
    <xf numFmtId="4" fontId="7" fillId="34" borderId="0" xfId="0" applyNumberFormat="1" applyFont="1" applyFill="1" applyAlignment="1">
      <alignment horizontal="center"/>
    </xf>
    <xf numFmtId="49" fontId="53" fillId="0" borderId="0" xfId="0" applyFont="1" applyAlignment="1">
      <alignment/>
    </xf>
    <xf numFmtId="49" fontId="3" fillId="0" borderId="0" xfId="0" applyFont="1" applyAlignment="1">
      <alignment/>
    </xf>
    <xf numFmtId="49" fontId="3" fillId="0" borderId="0" xfId="0" applyFont="1" applyAlignment="1">
      <alignment horizontal="center"/>
    </xf>
    <xf numFmtId="4" fontId="3" fillId="34" borderId="0" xfId="0" applyNumberFormat="1" applyFont="1" applyFill="1" applyAlignment="1">
      <alignment horizontal="center"/>
    </xf>
    <xf numFmtId="49" fontId="3" fillId="34" borderId="0" xfId="0" applyFont="1" applyFill="1" applyAlignment="1">
      <alignment horizontal="center"/>
    </xf>
    <xf numFmtId="49" fontId="3" fillId="34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/>
    </xf>
    <xf numFmtId="49" fontId="53" fillId="0" borderId="47" xfId="0" applyFont="1" applyBorder="1" applyAlignment="1">
      <alignment horizontal="center"/>
    </xf>
    <xf numFmtId="49" fontId="53" fillId="0" borderId="47" xfId="0" applyFont="1" applyBorder="1" applyAlignment="1">
      <alignment/>
    </xf>
    <xf numFmtId="3" fontId="53" fillId="0" borderId="47" xfId="0" applyNumberFormat="1" applyFont="1" applyBorder="1" applyAlignment="1">
      <alignment/>
    </xf>
    <xf numFmtId="3" fontId="3" fillId="34" borderId="0" xfId="0" applyNumberFormat="1" applyFont="1" applyFill="1" applyAlignment="1">
      <alignment/>
    </xf>
    <xf numFmtId="49" fontId="53" fillId="34" borderId="0" xfId="0" applyFont="1" applyFill="1" applyAlignment="1">
      <alignment/>
    </xf>
    <xf numFmtId="49" fontId="31" fillId="0" borderId="0" xfId="0" applyFont="1" applyAlignment="1">
      <alignment/>
    </xf>
    <xf numFmtId="49" fontId="48" fillId="0" borderId="0" xfId="0" applyFont="1" applyAlignment="1">
      <alignment/>
    </xf>
    <xf numFmtId="0" fontId="48" fillId="0" borderId="0" xfId="0" applyNumberFormat="1" applyFont="1" applyAlignment="1">
      <alignment horizontal="center"/>
    </xf>
    <xf numFmtId="49" fontId="48" fillId="0" borderId="0" xfId="0" applyFont="1" applyAlignment="1">
      <alignment horizontal="center"/>
    </xf>
    <xf numFmtId="4" fontId="48" fillId="34" borderId="0" xfId="0" applyNumberFormat="1" applyFont="1" applyFill="1" applyAlignment="1">
      <alignment horizontal="center"/>
    </xf>
    <xf numFmtId="49" fontId="48" fillId="34" borderId="0" xfId="0" applyFont="1" applyFill="1" applyAlignment="1">
      <alignment horizontal="center"/>
    </xf>
    <xf numFmtId="49" fontId="48" fillId="34" borderId="0" xfId="0" applyFont="1" applyFill="1" applyAlignment="1">
      <alignment/>
    </xf>
    <xf numFmtId="4" fontId="48" fillId="0" borderId="0" xfId="0" applyNumberFormat="1" applyFont="1" applyFill="1" applyBorder="1" applyAlignment="1">
      <alignment horizontal="center"/>
    </xf>
    <xf numFmtId="49" fontId="31" fillId="0" borderId="47" xfId="0" applyFont="1" applyBorder="1" applyAlignment="1">
      <alignment/>
    </xf>
    <xf numFmtId="3" fontId="31" fillId="0" borderId="47" xfId="0" applyNumberFormat="1" applyFont="1" applyBorder="1" applyAlignment="1">
      <alignment/>
    </xf>
    <xf numFmtId="3" fontId="48" fillId="34" borderId="0" xfId="0" applyNumberFormat="1" applyFont="1" applyFill="1" applyAlignment="1">
      <alignment/>
    </xf>
    <xf numFmtId="49" fontId="31" fillId="34" borderId="0" xfId="0" applyFont="1" applyFill="1" applyAlignment="1">
      <alignment/>
    </xf>
    <xf numFmtId="49" fontId="54" fillId="0" borderId="0" xfId="0" applyFont="1" applyAlignment="1">
      <alignment/>
    </xf>
    <xf numFmtId="49" fontId="55" fillId="0" borderId="0" xfId="0" applyFont="1" applyAlignment="1">
      <alignment/>
    </xf>
    <xf numFmtId="49" fontId="55" fillId="0" borderId="0" xfId="0" applyFont="1" applyAlignment="1">
      <alignment horizontal="center"/>
    </xf>
    <xf numFmtId="4" fontId="55" fillId="34" borderId="0" xfId="0" applyNumberFormat="1" applyFont="1" applyFill="1" applyAlignment="1">
      <alignment horizontal="center"/>
    </xf>
    <xf numFmtId="49" fontId="55" fillId="34" borderId="0" xfId="0" applyFont="1" applyFill="1" applyAlignment="1">
      <alignment horizontal="center"/>
    </xf>
    <xf numFmtId="49" fontId="55" fillId="34" borderId="0" xfId="0" applyFont="1" applyFill="1" applyAlignment="1">
      <alignment/>
    </xf>
    <xf numFmtId="4" fontId="55" fillId="0" borderId="0" xfId="0" applyNumberFormat="1" applyFont="1" applyFill="1" applyBorder="1" applyAlignment="1">
      <alignment horizontal="center"/>
    </xf>
    <xf numFmtId="49" fontId="54" fillId="0" borderId="47" xfId="0" applyNumberFormat="1" applyFont="1" applyBorder="1" applyAlignment="1">
      <alignment horizontal="center"/>
    </xf>
    <xf numFmtId="49" fontId="54" fillId="0" borderId="47" xfId="0" applyFont="1" applyBorder="1" applyAlignment="1">
      <alignment/>
    </xf>
    <xf numFmtId="49" fontId="7" fillId="34" borderId="42" xfId="0" applyFont="1" applyFill="1" applyBorder="1" applyAlignment="1">
      <alignment horizontal="center"/>
    </xf>
    <xf numFmtId="3" fontId="54" fillId="0" borderId="47" xfId="0" applyNumberFormat="1" applyFont="1" applyBorder="1" applyAlignment="1">
      <alignment/>
    </xf>
    <xf numFmtId="3" fontId="55" fillId="34" borderId="0" xfId="0" applyNumberFormat="1" applyFont="1" applyFill="1" applyAlignment="1">
      <alignment/>
    </xf>
    <xf numFmtId="49" fontId="54" fillId="34" borderId="0" xfId="0" applyFont="1" applyFill="1" applyAlignment="1">
      <alignment/>
    </xf>
    <xf numFmtId="49" fontId="31" fillId="0" borderId="47" xfId="0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49" fontId="7" fillId="34" borderId="37" xfId="0" applyFont="1" applyFill="1" applyBorder="1" applyAlignment="1">
      <alignment horizontal="center"/>
    </xf>
    <xf numFmtId="49" fontId="7" fillId="34" borderId="40" xfId="0" applyFont="1" applyFill="1" applyBorder="1" applyAlignment="1">
      <alignment horizontal="center"/>
    </xf>
    <xf numFmtId="49" fontId="7" fillId="0" borderId="43" xfId="0" applyFont="1" applyBorder="1" applyAlignment="1">
      <alignment horizontal="center"/>
    </xf>
    <xf numFmtId="49" fontId="6" fillId="0" borderId="44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7" fillId="0" borderId="44" xfId="0" applyFont="1" applyBorder="1" applyAlignment="1">
      <alignment/>
    </xf>
    <xf numFmtId="3" fontId="7" fillId="0" borderId="45" xfId="0" applyNumberFormat="1" applyFont="1" applyBorder="1" applyAlignment="1">
      <alignment/>
    </xf>
    <xf numFmtId="49" fontId="6" fillId="0" borderId="46" xfId="0" applyFont="1" applyBorder="1" applyAlignment="1">
      <alignment horizontal="center"/>
    </xf>
    <xf numFmtId="49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7" fillId="0" borderId="47" xfId="0" applyFont="1" applyBorder="1" applyAlignment="1">
      <alignment/>
    </xf>
    <xf numFmtId="3" fontId="7" fillId="0" borderId="48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49" fontId="7" fillId="0" borderId="46" xfId="0" applyFont="1" applyBorder="1" applyAlignment="1">
      <alignment horizontal="center"/>
    </xf>
    <xf numFmtId="49" fontId="6" fillId="0" borderId="49" xfId="0" applyFont="1" applyBorder="1" applyAlignment="1">
      <alignment horizontal="center"/>
    </xf>
    <xf numFmtId="49" fontId="6" fillId="0" borderId="50" xfId="0" applyFont="1" applyBorder="1" applyAlignment="1">
      <alignment horizontal="center"/>
    </xf>
    <xf numFmtId="49" fontId="7" fillId="0" borderId="50" xfId="0" applyFont="1" applyBorder="1" applyAlignment="1">
      <alignment/>
    </xf>
    <xf numFmtId="3" fontId="6" fillId="0" borderId="51" xfId="0" applyNumberFormat="1" applyFont="1" applyBorder="1" applyAlignment="1">
      <alignment/>
    </xf>
    <xf numFmtId="3" fontId="7" fillId="34" borderId="40" xfId="0" applyNumberFormat="1" applyFont="1" applyFill="1" applyBorder="1" applyAlignment="1">
      <alignment/>
    </xf>
    <xf numFmtId="49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18" fillId="0" borderId="0" xfId="0" applyFont="1" applyAlignment="1">
      <alignment/>
    </xf>
    <xf numFmtId="49" fontId="11" fillId="0" borderId="0" xfId="0" applyFont="1" applyAlignment="1">
      <alignment/>
    </xf>
    <xf numFmtId="4" fontId="11" fillId="34" borderId="0" xfId="0" applyNumberFormat="1" applyFont="1" applyFill="1" applyAlignment="1">
      <alignment horizontal="center"/>
    </xf>
    <xf numFmtId="49" fontId="11" fillId="34" borderId="0" xfId="0" applyFont="1" applyFill="1" applyAlignment="1">
      <alignment horizontal="center"/>
    </xf>
    <xf numFmtId="49" fontId="11" fillId="34" borderId="0" xfId="0" applyFont="1" applyFill="1" applyAlignment="1">
      <alignment/>
    </xf>
    <xf numFmtId="4" fontId="11" fillId="0" borderId="0" xfId="0" applyNumberFormat="1" applyFont="1" applyFill="1" applyBorder="1" applyAlignment="1">
      <alignment horizontal="center"/>
    </xf>
    <xf numFmtId="49" fontId="18" fillId="0" borderId="47" xfId="0" applyNumberFormat="1" applyFont="1" applyBorder="1" applyAlignment="1">
      <alignment horizontal="center"/>
    </xf>
    <xf numFmtId="49" fontId="18" fillId="0" borderId="47" xfId="0" applyFont="1" applyBorder="1" applyAlignment="1">
      <alignment/>
    </xf>
    <xf numFmtId="3" fontId="18" fillId="0" borderId="47" xfId="0" applyNumberFormat="1" applyFont="1" applyBorder="1" applyAlignment="1">
      <alignment/>
    </xf>
    <xf numFmtId="3" fontId="11" fillId="34" borderId="0" xfId="0" applyNumberFormat="1" applyFont="1" applyFill="1" applyAlignment="1">
      <alignment/>
    </xf>
    <xf numFmtId="49" fontId="18" fillId="34" borderId="0" xfId="0" applyFont="1" applyFill="1" applyAlignment="1">
      <alignment/>
    </xf>
    <xf numFmtId="9" fontId="11" fillId="0" borderId="0" xfId="57" applyFont="1" applyFill="1" applyAlignment="1">
      <alignment horizontal="center"/>
    </xf>
    <xf numFmtId="3" fontId="18" fillId="0" borderId="0" xfId="0" applyNumberFormat="1" applyFont="1" applyAlignment="1">
      <alignment/>
    </xf>
    <xf numFmtId="49" fontId="56" fillId="0" borderId="0" xfId="0" applyFont="1" applyAlignment="1">
      <alignment/>
    </xf>
    <xf numFmtId="0" fontId="5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9" fontId="7" fillId="34" borderId="0" xfId="0" applyFont="1" applyFill="1" applyAlignment="1">
      <alignment horizontal="center"/>
    </xf>
    <xf numFmtId="49" fontId="7" fillId="34" borderId="0" xfId="0" applyFont="1" applyFill="1" applyAlignment="1">
      <alignment/>
    </xf>
    <xf numFmtId="3" fontId="7" fillId="34" borderId="0" xfId="0" applyNumberFormat="1" applyFont="1" applyFill="1" applyAlignment="1">
      <alignment/>
    </xf>
    <xf numFmtId="49" fontId="6" fillId="34" borderId="0" xfId="0" applyFont="1" applyFill="1" applyAlignment="1">
      <alignment/>
    </xf>
    <xf numFmtId="49" fontId="6" fillId="0" borderId="47" xfId="0" applyFont="1" applyBorder="1" applyAlignment="1">
      <alignment/>
    </xf>
    <xf numFmtId="3" fontId="6" fillId="0" borderId="47" xfId="0" applyNumberFormat="1" applyFont="1" applyBorder="1" applyAlignment="1">
      <alignment/>
    </xf>
    <xf numFmtId="49" fontId="53" fillId="0" borderId="13" xfId="0" applyNumberFormat="1" applyFont="1" applyBorder="1" applyAlignment="1">
      <alignment horizontal="center"/>
    </xf>
    <xf numFmtId="49" fontId="53" fillId="0" borderId="13" xfId="0" applyFont="1" applyBorder="1" applyAlignment="1">
      <alignment/>
    </xf>
    <xf numFmtId="3" fontId="53" fillId="0" borderId="13" xfId="0" applyNumberFormat="1" applyFont="1" applyBorder="1" applyAlignment="1">
      <alignment/>
    </xf>
    <xf numFmtId="49" fontId="53" fillId="0" borderId="47" xfId="0" applyNumberFormat="1" applyFont="1" applyBorder="1" applyAlignment="1">
      <alignment horizontal="center"/>
    </xf>
    <xf numFmtId="49" fontId="18" fillId="0" borderId="47" xfId="0" applyFont="1" applyBorder="1" applyAlignment="1">
      <alignment horizontal="center"/>
    </xf>
    <xf numFmtId="49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6" fillId="0" borderId="99" xfId="0" applyNumberFormat="1" applyFont="1" applyBorder="1" applyAlignment="1">
      <alignment horizontal="center"/>
    </xf>
    <xf numFmtId="49" fontId="6" fillId="0" borderId="99" xfId="0" applyFont="1" applyBorder="1" applyAlignment="1">
      <alignment/>
    </xf>
    <xf numFmtId="3" fontId="6" fillId="0" borderId="99" xfId="0" applyNumberFormat="1" applyFont="1" applyBorder="1" applyAlignment="1">
      <alignment/>
    </xf>
    <xf numFmtId="49" fontId="53" fillId="0" borderId="0" xfId="0" applyNumberFormat="1" applyFont="1" applyAlignment="1">
      <alignment/>
    </xf>
    <xf numFmtId="0" fontId="5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9" fontId="11" fillId="0" borderId="0" xfId="0" applyFont="1" applyAlignment="1">
      <alignment horizontal="center"/>
    </xf>
    <xf numFmtId="49" fontId="9" fillId="0" borderId="0" xfId="0" applyFont="1" applyAlignment="1">
      <alignment horizontal="center"/>
    </xf>
    <xf numFmtId="49" fontId="12" fillId="0" borderId="0" xfId="0" applyFont="1" applyAlignment="1">
      <alignment horizontal="center"/>
    </xf>
    <xf numFmtId="49" fontId="4" fillId="0" borderId="0" xfId="0" applyFont="1" applyAlignment="1">
      <alignment horizontal="center"/>
    </xf>
    <xf numFmtId="49" fontId="5" fillId="0" borderId="42" xfId="0" applyFont="1" applyBorder="1" applyAlignment="1">
      <alignment horizontal="center"/>
    </xf>
    <xf numFmtId="49" fontId="5" fillId="0" borderId="77" xfId="0" applyFont="1" applyBorder="1" applyAlignment="1">
      <alignment horizontal="center"/>
    </xf>
    <xf numFmtId="49" fontId="5" fillId="0" borderId="60" xfId="0" applyFont="1" applyBorder="1" applyAlignment="1">
      <alignment horizontal="center"/>
    </xf>
    <xf numFmtId="49" fontId="11" fillId="0" borderId="42" xfId="0" applyFont="1" applyBorder="1" applyAlignment="1">
      <alignment horizontal="center"/>
    </xf>
    <xf numFmtId="49" fontId="11" fillId="0" borderId="77" xfId="0" applyFont="1" applyBorder="1" applyAlignment="1">
      <alignment horizontal="center"/>
    </xf>
    <xf numFmtId="49" fontId="11" fillId="0" borderId="60" xfId="0" applyFont="1" applyBorder="1" applyAlignment="1">
      <alignment horizontal="center"/>
    </xf>
    <xf numFmtId="49" fontId="5" fillId="34" borderId="42" xfId="0" applyFont="1" applyFill="1" applyBorder="1" applyAlignment="1">
      <alignment horizontal="center"/>
    </xf>
    <xf numFmtId="49" fontId="5" fillId="34" borderId="77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49" fontId="11" fillId="0" borderId="0" xfId="50" applyNumberFormat="1" applyFont="1" applyAlignment="1">
      <alignment horizontal="center"/>
    </xf>
    <xf numFmtId="0" fontId="11" fillId="0" borderId="0" xfId="50" applyNumberFormat="1" applyFont="1" applyAlignment="1">
      <alignment horizontal="center"/>
    </xf>
    <xf numFmtId="178" fontId="11" fillId="0" borderId="0" xfId="50" applyFont="1" applyAlignment="1">
      <alignment horizontal="center"/>
    </xf>
    <xf numFmtId="0" fontId="4" fillId="0" borderId="0" xfId="0" applyNumberFormat="1" applyFont="1" applyAlignment="1">
      <alignment horizontal="center"/>
    </xf>
    <xf numFmtId="49" fontId="3" fillId="0" borderId="0" xfId="0" applyFont="1" applyAlignment="1">
      <alignment horizontal="center"/>
    </xf>
    <xf numFmtId="49" fontId="55" fillId="0" borderId="0" xfId="0" applyNumberFormat="1" applyFont="1" applyAlignment="1">
      <alignment horizontal="center"/>
    </xf>
    <xf numFmtId="0" fontId="55" fillId="0" borderId="0" xfId="0" applyNumberFormat="1" applyFont="1" applyAlignment="1">
      <alignment horizontal="center"/>
    </xf>
    <xf numFmtId="0" fontId="4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49" fontId="7" fillId="34" borderId="42" xfId="0" applyFont="1" applyFill="1" applyBorder="1" applyAlignment="1">
      <alignment horizontal="center"/>
    </xf>
    <xf numFmtId="49" fontId="7" fillId="34" borderId="77" xfId="0" applyFont="1" applyFill="1" applyBorder="1" applyAlignment="1">
      <alignment horizontal="center"/>
    </xf>
    <xf numFmtId="49" fontId="7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7" fillId="0" borderId="0" xfId="0" applyFont="1" applyAlignment="1">
      <alignment horizontal="left"/>
    </xf>
    <xf numFmtId="49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49" fontId="4" fillId="34" borderId="153" xfId="0" applyFont="1" applyFill="1" applyBorder="1" applyAlignment="1">
      <alignment horizontal="center"/>
    </xf>
    <xf numFmtId="49" fontId="4" fillId="34" borderId="17" xfId="0" applyFont="1" applyFill="1" applyBorder="1" applyAlignment="1">
      <alignment horizontal="center"/>
    </xf>
    <xf numFmtId="49" fontId="0" fillId="34" borderId="39" xfId="0" applyFont="1" applyFill="1" applyBorder="1" applyAlignment="1">
      <alignment horizontal="center"/>
    </xf>
    <xf numFmtId="49" fontId="0" fillId="34" borderId="94" xfId="0" applyFont="1" applyFill="1" applyBorder="1" applyAlignment="1">
      <alignment horizontal="center"/>
    </xf>
    <xf numFmtId="49" fontId="4" fillId="34" borderId="31" xfId="0" applyNumberFormat="1" applyFont="1" applyFill="1" applyBorder="1" applyAlignment="1">
      <alignment horizontal="center"/>
    </xf>
    <xf numFmtId="49" fontId="4" fillId="34" borderId="35" xfId="0" applyNumberFormat="1" applyFont="1" applyFill="1" applyBorder="1" applyAlignment="1">
      <alignment horizontal="center"/>
    </xf>
    <xf numFmtId="49" fontId="4" fillId="34" borderId="39" xfId="0" applyFont="1" applyFill="1" applyBorder="1" applyAlignment="1">
      <alignment horizontal="center"/>
    </xf>
    <xf numFmtId="49" fontId="4" fillId="34" borderId="94" xfId="0" applyFont="1" applyFill="1" applyBorder="1" applyAlignment="1">
      <alignment horizontal="center"/>
    </xf>
    <xf numFmtId="49" fontId="4" fillId="34" borderId="41" xfId="0" applyFont="1" applyFill="1" applyBorder="1" applyAlignment="1">
      <alignment horizontal="center"/>
    </xf>
    <xf numFmtId="49" fontId="0" fillId="34" borderId="41" xfId="0" applyFont="1" applyFill="1" applyBorder="1" applyAlignment="1">
      <alignment horizontal="center"/>
    </xf>
    <xf numFmtId="49" fontId="4" fillId="0" borderId="0" xfId="0" applyFont="1" applyFill="1" applyBorder="1" applyAlignment="1" applyProtection="1">
      <alignment horizontal="center"/>
      <protection locked="0"/>
    </xf>
    <xf numFmtId="49" fontId="5" fillId="0" borderId="0" xfId="0" applyFont="1" applyFill="1" applyBorder="1" applyAlignment="1" applyProtection="1">
      <alignment horizontal="center"/>
      <protection locked="0"/>
    </xf>
    <xf numFmtId="49" fontId="3" fillId="0" borderId="0" xfId="0" applyFont="1" applyFill="1" applyBorder="1" applyAlignment="1" applyProtection="1">
      <alignment horizontal="center"/>
      <protection locked="0"/>
    </xf>
    <xf numFmtId="0" fontId="18" fillId="0" borderId="47" xfId="53" applyFont="1" applyBorder="1" applyAlignment="1">
      <alignment horizontal="left"/>
      <protection/>
    </xf>
    <xf numFmtId="0" fontId="11" fillId="0" borderId="0" xfId="53" applyFont="1" applyAlignment="1">
      <alignment horizontal="center"/>
      <protection/>
    </xf>
    <xf numFmtId="0" fontId="7" fillId="34" borderId="0" xfId="53" applyFont="1" applyFill="1" applyBorder="1" applyAlignment="1">
      <alignment horizontal="left"/>
      <protection/>
    </xf>
    <xf numFmtId="49" fontId="20" fillId="33" borderId="0" xfId="0" applyFont="1" applyFill="1" applyBorder="1" applyAlignment="1">
      <alignment horizontal="left" vertical="center" wrapText="1"/>
    </xf>
    <xf numFmtId="49" fontId="0" fillId="33" borderId="0" xfId="0" applyFill="1" applyBorder="1" applyAlignment="1">
      <alignment/>
    </xf>
    <xf numFmtId="49" fontId="20" fillId="33" borderId="0" xfId="0" applyFont="1" applyFill="1" applyBorder="1" applyAlignment="1">
      <alignment vertical="center" wrapText="1"/>
    </xf>
    <xf numFmtId="49" fontId="0" fillId="0" borderId="0" xfId="0" applyAlignment="1">
      <alignment wrapText="1"/>
    </xf>
    <xf numFmtId="178" fontId="27" fillId="33" borderId="28" xfId="50" applyFont="1" applyFill="1" applyBorder="1" applyAlignment="1">
      <alignment horizontal="center" vertical="center"/>
    </xf>
    <xf numFmtId="178" fontId="0" fillId="0" borderId="28" xfId="50" applyFont="1" applyBorder="1" applyAlignment="1">
      <alignment/>
    </xf>
    <xf numFmtId="49" fontId="30" fillId="33" borderId="115" xfId="0" applyFont="1" applyFill="1" applyBorder="1" applyAlignment="1">
      <alignment horizontal="center" vertical="center"/>
    </xf>
    <xf numFmtId="49" fontId="31" fillId="0" borderId="115" xfId="0" applyFont="1" applyBorder="1" applyAlignment="1">
      <alignment horizontal="center" vertical="center"/>
    </xf>
    <xf numFmtId="49" fontId="20" fillId="33" borderId="20" xfId="0" applyFont="1" applyFill="1" applyBorder="1" applyAlignment="1">
      <alignment horizontal="center" vertical="center"/>
    </xf>
    <xf numFmtId="49" fontId="0" fillId="0" borderId="20" xfId="0" applyBorder="1" applyAlignment="1">
      <alignment horizontal="center" vertical="center"/>
    </xf>
    <xf numFmtId="49" fontId="20" fillId="33" borderId="154" xfId="0" applyFont="1" applyFill="1" applyBorder="1" applyAlignment="1">
      <alignment horizontal="center" vertical="center"/>
    </xf>
    <xf numFmtId="49" fontId="0" fillId="0" borderId="80" xfId="0" applyBorder="1" applyAlignment="1">
      <alignment horizontal="center" vertical="center"/>
    </xf>
    <xf numFmtId="178" fontId="22" fillId="33" borderId="155" xfId="50" applyFont="1" applyFill="1" applyBorder="1" applyAlignment="1">
      <alignment horizontal="center" vertical="justify"/>
    </xf>
    <xf numFmtId="178" fontId="4" fillId="0" borderId="156" xfId="50" applyFont="1" applyBorder="1" applyAlignment="1">
      <alignment horizontal="center" vertical="justify"/>
    </xf>
    <xf numFmtId="49" fontId="27" fillId="33" borderId="28" xfId="0" applyFont="1" applyFill="1" applyBorder="1" applyAlignment="1">
      <alignment horizontal="center" vertical="top"/>
    </xf>
    <xf numFmtId="49" fontId="0" fillId="33" borderId="28" xfId="0" applyFill="1" applyBorder="1" applyAlignment="1">
      <alignment vertical="top"/>
    </xf>
    <xf numFmtId="49" fontId="20" fillId="33" borderId="157" xfId="0" applyFont="1" applyFill="1" applyBorder="1" applyAlignment="1">
      <alignment horizontal="left" vertical="center"/>
    </xf>
    <xf numFmtId="49" fontId="0" fillId="33" borderId="158" xfId="0" applyFill="1" applyBorder="1" applyAlignment="1">
      <alignment/>
    </xf>
    <xf numFmtId="49" fontId="0" fillId="33" borderId="124" xfId="0" applyFill="1" applyBorder="1" applyAlignment="1">
      <alignment/>
    </xf>
    <xf numFmtId="49" fontId="0" fillId="33" borderId="159" xfId="0" applyFill="1" applyBorder="1" applyAlignment="1">
      <alignment/>
    </xf>
    <xf numFmtId="49" fontId="20" fillId="33" borderId="95" xfId="0" applyFont="1" applyFill="1" applyBorder="1" applyAlignment="1">
      <alignment horizontal="center" vertical="center"/>
    </xf>
    <xf numFmtId="49" fontId="0" fillId="0" borderId="95" xfId="0" applyBorder="1" applyAlignment="1">
      <alignment horizontal="center" vertical="center"/>
    </xf>
    <xf numFmtId="49" fontId="23" fillId="33" borderId="13" xfId="0" applyFont="1" applyFill="1" applyBorder="1" applyAlignment="1">
      <alignment horizontal="center" vertical="center" textRotation="90" wrapText="1"/>
    </xf>
    <xf numFmtId="49" fontId="0" fillId="0" borderId="13" xfId="0" applyBorder="1" applyAlignment="1">
      <alignment vertical="center" wrapText="1"/>
    </xf>
    <xf numFmtId="49" fontId="0" fillId="0" borderId="102" xfId="0" applyBorder="1" applyAlignment="1">
      <alignment vertical="center" wrapText="1"/>
    </xf>
    <xf numFmtId="49" fontId="38" fillId="33" borderId="102" xfId="0" applyFont="1" applyFill="1" applyBorder="1" applyAlignment="1">
      <alignment horizontal="justify" vertical="center" textRotation="90"/>
    </xf>
    <xf numFmtId="49" fontId="0" fillId="0" borderId="95" xfId="0" applyBorder="1" applyAlignment="1">
      <alignment horizontal="justify" vertical="center"/>
    </xf>
    <xf numFmtId="49" fontId="20" fillId="33" borderId="99" xfId="0" applyFont="1" applyFill="1" applyBorder="1" applyAlignment="1">
      <alignment horizontal="center" vertical="center"/>
    </xf>
    <xf numFmtId="49" fontId="0" fillId="0" borderId="99" xfId="0" applyBorder="1" applyAlignment="1">
      <alignment/>
    </xf>
    <xf numFmtId="49" fontId="0" fillId="0" borderId="13" xfId="0" applyBorder="1" applyAlignment="1">
      <alignment/>
    </xf>
    <xf numFmtId="49" fontId="23" fillId="33" borderId="102" xfId="0" applyFont="1" applyFill="1" applyBorder="1" applyAlignment="1">
      <alignment horizontal="center" vertical="center" textRotation="90"/>
    </xf>
    <xf numFmtId="49" fontId="23" fillId="33" borderId="95" xfId="0" applyFont="1" applyFill="1" applyBorder="1" applyAlignment="1">
      <alignment horizontal="center" vertical="center" textRotation="90"/>
    </xf>
    <xf numFmtId="49" fontId="0" fillId="33" borderId="95" xfId="0" applyFill="1" applyBorder="1" applyAlignment="1">
      <alignment vertical="center"/>
    </xf>
    <xf numFmtId="49" fontId="22" fillId="33" borderId="160" xfId="0" applyFont="1" applyFill="1" applyBorder="1" applyAlignment="1">
      <alignment horizontal="center" vertical="center"/>
    </xf>
    <xf numFmtId="49" fontId="4" fillId="0" borderId="161" xfId="0" applyFont="1" applyBorder="1" applyAlignment="1">
      <alignment vertical="center"/>
    </xf>
    <xf numFmtId="49" fontId="23" fillId="33" borderId="162" xfId="0" applyFont="1" applyFill="1" applyBorder="1" applyAlignment="1">
      <alignment horizontal="justify" vertical="center" textRotation="90" wrapText="1"/>
    </xf>
    <xf numFmtId="49" fontId="23" fillId="33" borderId="157" xfId="0" applyFont="1" applyFill="1" applyBorder="1" applyAlignment="1">
      <alignment horizontal="justify" vertical="center" textRotation="90" wrapText="1"/>
    </xf>
    <xf numFmtId="49" fontId="4" fillId="33" borderId="157" xfId="0" applyFont="1" applyFill="1" applyBorder="1" applyAlignment="1">
      <alignment horizontal="justify" vertical="center" wrapText="1"/>
    </xf>
    <xf numFmtId="49" fontId="4" fillId="33" borderId="95" xfId="0" applyFont="1" applyFill="1" applyBorder="1" applyAlignment="1">
      <alignment horizontal="justify" vertical="center" wrapText="1"/>
    </xf>
    <xf numFmtId="49" fontId="20" fillId="33" borderId="24" xfId="0" applyFont="1" applyFill="1" applyBorder="1" applyAlignment="1">
      <alignment horizontal="justify" vertical="center" wrapText="1"/>
    </xf>
    <xf numFmtId="49" fontId="0" fillId="0" borderId="163" xfId="0" applyBorder="1" applyAlignment="1">
      <alignment horizontal="justify" vertical="center" wrapText="1"/>
    </xf>
    <xf numFmtId="49" fontId="22" fillId="33" borderId="24" xfId="0" applyFont="1" applyFill="1" applyBorder="1" applyAlignment="1">
      <alignment horizontal="center" vertical="center"/>
    </xf>
    <xf numFmtId="49" fontId="4" fillId="0" borderId="113" xfId="0" applyFont="1" applyBorder="1" applyAlignment="1">
      <alignment vertical="center"/>
    </xf>
    <xf numFmtId="49" fontId="4" fillId="0" borderId="19" xfId="0" applyFont="1" applyBorder="1" applyAlignment="1">
      <alignment vertical="center"/>
    </xf>
    <xf numFmtId="49" fontId="20" fillId="33" borderId="105" xfId="0" applyFont="1" applyFill="1" applyBorder="1" applyAlignment="1">
      <alignment horizontal="justify" vertical="center" wrapText="1"/>
    </xf>
    <xf numFmtId="49" fontId="0" fillId="0" borderId="13" xfId="0" applyBorder="1" applyAlignment="1">
      <alignment horizontal="justify" vertical="center" wrapText="1"/>
    </xf>
    <xf numFmtId="49" fontId="22" fillId="33" borderId="153" xfId="0" applyFont="1" applyFill="1" applyBorder="1" applyAlignment="1">
      <alignment horizontal="center" vertical="center"/>
    </xf>
    <xf numFmtId="49" fontId="0" fillId="0" borderId="17" xfId="0" applyBorder="1" applyAlignment="1">
      <alignment vertical="center"/>
    </xf>
    <xf numFmtId="49" fontId="0" fillId="0" borderId="113" xfId="0" applyBorder="1" applyAlignment="1">
      <alignment vertical="center"/>
    </xf>
    <xf numFmtId="49" fontId="27" fillId="33" borderId="28" xfId="0" applyFont="1" applyFill="1" applyBorder="1" applyAlignment="1">
      <alignment horizontal="center" vertical="center"/>
    </xf>
    <xf numFmtId="49" fontId="0" fillId="33" borderId="28" xfId="0" applyFill="1" applyBorder="1" applyAlignment="1">
      <alignment vertical="center"/>
    </xf>
    <xf numFmtId="49" fontId="37" fillId="33" borderId="100" xfId="0" applyFont="1" applyFill="1" applyBorder="1" applyAlignment="1">
      <alignment vertical="center"/>
    </xf>
    <xf numFmtId="49" fontId="47" fillId="0" borderId="100" xfId="0" applyFont="1" applyBorder="1" applyAlignment="1">
      <alignment vertical="center"/>
    </xf>
    <xf numFmtId="49" fontId="47" fillId="0" borderId="29" xfId="0" applyFont="1" applyBorder="1" applyAlignment="1">
      <alignment vertical="center"/>
    </xf>
    <xf numFmtId="49" fontId="37" fillId="33" borderId="11" xfId="0" applyFont="1" applyFill="1" applyBorder="1" applyAlignment="1">
      <alignment vertical="center"/>
    </xf>
    <xf numFmtId="49" fontId="41" fillId="0" borderId="0" xfId="0" applyFont="1" applyBorder="1" applyAlignment="1">
      <alignment vertical="center"/>
    </xf>
    <xf numFmtId="49" fontId="41" fillId="0" borderId="153" xfId="0" applyFont="1" applyBorder="1" applyAlignment="1">
      <alignment vertical="center"/>
    </xf>
    <xf numFmtId="49" fontId="41" fillId="0" borderId="17" xfId="0" applyFont="1" applyBorder="1" applyAlignment="1">
      <alignment vertical="center"/>
    </xf>
    <xf numFmtId="49" fontId="0" fillId="33" borderId="0" xfId="0" applyFill="1" applyBorder="1" applyAlignment="1">
      <alignment vertical="center"/>
    </xf>
    <xf numFmtId="49" fontId="0" fillId="33" borderId="157" xfId="0" applyFill="1" applyBorder="1" applyAlignment="1">
      <alignment vertical="center"/>
    </xf>
    <xf numFmtId="49" fontId="42" fillId="33" borderId="164" xfId="0" applyFont="1" applyFill="1" applyBorder="1" applyAlignment="1">
      <alignment horizontal="center" vertical="center" textRotation="90"/>
    </xf>
    <xf numFmtId="49" fontId="43" fillId="0" borderId="165" xfId="0" applyFont="1" applyBorder="1" applyAlignment="1">
      <alignment horizontal="center" vertical="center"/>
    </xf>
    <xf numFmtId="49" fontId="43" fillId="0" borderId="166" xfId="0" applyFont="1" applyBorder="1" applyAlignment="1">
      <alignment horizontal="center" vertical="center"/>
    </xf>
    <xf numFmtId="49" fontId="42" fillId="33" borderId="139" xfId="0" applyFont="1" applyFill="1" applyBorder="1" applyAlignment="1">
      <alignment horizontal="center" vertical="center" textRotation="90"/>
    </xf>
    <xf numFmtId="49" fontId="44" fillId="33" borderId="126" xfId="0" applyFont="1" applyFill="1" applyBorder="1" applyAlignment="1">
      <alignment horizontal="center" vertical="center"/>
    </xf>
    <xf numFmtId="49" fontId="43" fillId="0" borderId="126" xfId="0" applyFont="1" applyBorder="1" applyAlignment="1">
      <alignment horizontal="center" vertical="center"/>
    </xf>
    <xf numFmtId="49" fontId="43" fillId="0" borderId="137" xfId="0" applyFont="1" applyBorder="1" applyAlignment="1">
      <alignment horizontal="center" vertical="center"/>
    </xf>
    <xf numFmtId="49" fontId="20" fillId="33" borderId="159" xfId="0" applyFont="1" applyFill="1" applyBorder="1" applyAlignment="1">
      <alignment horizontal="justify" vertical="center" wrapText="1"/>
    </xf>
    <xf numFmtId="49" fontId="0" fillId="0" borderId="99" xfId="0" applyBorder="1" applyAlignment="1">
      <alignment horizontal="justify" vertical="center" wrapText="1"/>
    </xf>
    <xf numFmtId="0" fontId="3" fillId="0" borderId="0" xfId="55" applyFont="1" applyAlignment="1">
      <alignment horizontal="center"/>
      <protection/>
    </xf>
    <xf numFmtId="0" fontId="7" fillId="0" borderId="42" xfId="55" applyFont="1" applyBorder="1" applyAlignment="1">
      <alignment horizontal="center"/>
      <protection/>
    </xf>
    <xf numFmtId="0" fontId="7" fillId="0" borderId="60" xfId="55" applyFont="1" applyBorder="1" applyAlignment="1">
      <alignment horizontal="center"/>
      <protection/>
    </xf>
    <xf numFmtId="0" fontId="48" fillId="0" borderId="0" xfId="55" applyFont="1" applyAlignment="1">
      <alignment horizontal="center"/>
      <protection/>
    </xf>
    <xf numFmtId="0" fontId="3" fillId="0" borderId="42" xfId="55" applyFont="1" applyBorder="1" applyAlignment="1">
      <alignment horizontal="center"/>
      <protection/>
    </xf>
    <xf numFmtId="0" fontId="3" fillId="0" borderId="77" xfId="55" applyFont="1" applyBorder="1" applyAlignment="1">
      <alignment horizontal="center"/>
      <protection/>
    </xf>
    <xf numFmtId="0" fontId="3" fillId="0" borderId="60" xfId="55" applyFont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Indicadores 2006" xfId="53"/>
    <cellStyle name="Normal_plan obras públicas 2006" xfId="54"/>
    <cellStyle name="Normal_presup.particip.distritos 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EA%20DE%20TRABAJO\Presupuesto\planillas%20calculo\a&#241;o%202008\SANDRA%20PROYECCIONE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ción"/>
      <sheetName val="SUPUESTOS"/>
    </sheetNames>
    <sheetDataSet>
      <sheetData sheetId="1">
        <row r="15">
          <cell r="D15">
            <v>0.03</v>
          </cell>
          <cell r="E15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5" zoomScaleNormal="75" zoomScalePageLayoutView="0" workbookViewId="0" topLeftCell="A1">
      <selection activeCell="F1" sqref="F1"/>
    </sheetView>
  </sheetViews>
  <sheetFormatPr defaultColWidth="11.421875" defaultRowHeight="12.75"/>
  <cols>
    <col min="1" max="1" width="50.57421875" style="13" customWidth="1"/>
    <col min="2" max="2" width="14.8515625" style="13" bestFit="1" customWidth="1"/>
    <col min="3" max="3" width="10.8515625" style="13" bestFit="1" customWidth="1"/>
    <col min="4" max="4" width="3.57421875" style="13" customWidth="1"/>
    <col min="5" max="5" width="44.57421875" style="13" customWidth="1"/>
    <col min="6" max="6" width="14.8515625" style="13" bestFit="1" customWidth="1"/>
    <col min="7" max="7" width="11.28125" style="13" bestFit="1" customWidth="1"/>
  </cols>
  <sheetData>
    <row r="1" spans="1:7" ht="12.75">
      <c r="A1" s="54"/>
      <c r="B1" s="48"/>
      <c r="C1" s="48"/>
      <c r="D1" s="48"/>
      <c r="E1" s="48"/>
      <c r="F1" s="33" t="s">
        <v>363</v>
      </c>
      <c r="G1" s="33"/>
    </row>
    <row r="2" spans="1:7" ht="15">
      <c r="A2" s="761" t="s">
        <v>382</v>
      </c>
      <c r="B2" s="761"/>
      <c r="C2" s="761"/>
      <c r="D2" s="761"/>
      <c r="E2" s="761"/>
      <c r="F2" s="761"/>
      <c r="G2" s="761"/>
    </row>
    <row r="3" spans="1:7" ht="12.75">
      <c r="A3" s="762" t="s">
        <v>534</v>
      </c>
      <c r="B3" s="762"/>
      <c r="C3" s="762"/>
      <c r="D3" s="762"/>
      <c r="E3" s="762"/>
      <c r="F3" s="762"/>
      <c r="G3" s="762"/>
    </row>
    <row r="4" spans="1:7" ht="12.75">
      <c r="A4" s="763" t="s">
        <v>535</v>
      </c>
      <c r="B4" s="763"/>
      <c r="C4" s="763"/>
      <c r="D4" s="763"/>
      <c r="E4" s="763"/>
      <c r="F4" s="763"/>
      <c r="G4" s="763"/>
    </row>
    <row r="5" spans="1:7" ht="12.75">
      <c r="A5" s="48"/>
      <c r="B5" s="48"/>
      <c r="C5" s="48"/>
      <c r="D5" s="48"/>
      <c r="E5" s="48"/>
      <c r="F5" s="48"/>
      <c r="G5" s="48"/>
    </row>
    <row r="6" spans="1:7" ht="12.75">
      <c r="A6" s="56" t="s">
        <v>536</v>
      </c>
      <c r="B6" s="56" t="s">
        <v>537</v>
      </c>
      <c r="C6" s="56" t="s">
        <v>538</v>
      </c>
      <c r="D6" s="48"/>
      <c r="E6" s="56" t="s">
        <v>536</v>
      </c>
      <c r="F6" s="56" t="s">
        <v>537</v>
      </c>
      <c r="G6" s="56" t="s">
        <v>538</v>
      </c>
    </row>
    <row r="7" spans="1:7" ht="12.75">
      <c r="A7" s="48"/>
      <c r="B7" s="48"/>
      <c r="C7" s="48"/>
      <c r="D7" s="48"/>
      <c r="E7" s="48"/>
      <c r="F7" s="48"/>
      <c r="G7" s="48"/>
    </row>
    <row r="8" spans="1:7" ht="12.75">
      <c r="A8" s="57" t="s">
        <v>763</v>
      </c>
      <c r="B8" s="41">
        <f>+B9+B12+B16</f>
        <v>90769030</v>
      </c>
      <c r="C8" s="58">
        <f>+B8/B25</f>
        <v>0.9000186311896029</v>
      </c>
      <c r="D8" s="48"/>
      <c r="E8" s="57" t="s">
        <v>539</v>
      </c>
      <c r="F8" s="41">
        <f>+F9+F13+F14</f>
        <v>90694561.653</v>
      </c>
      <c r="G8" s="58">
        <f>+G9+G13+G14</f>
        <v>0.8287361936385527</v>
      </c>
    </row>
    <row r="9" spans="1:7" ht="12.75">
      <c r="A9" s="33" t="s">
        <v>825</v>
      </c>
      <c r="B9" s="41">
        <f>SUM(B10:B11)</f>
        <v>31604120</v>
      </c>
      <c r="C9" s="58">
        <f>+B9/B8</f>
        <v>0.34818175318167444</v>
      </c>
      <c r="D9" s="33"/>
      <c r="E9" s="33" t="s">
        <v>541</v>
      </c>
      <c r="F9" s="41">
        <f>+SUM(F10:F12)</f>
        <v>86605921.653</v>
      </c>
      <c r="G9" s="58">
        <f>+G10+G11+G12</f>
        <v>0.7913755858027437</v>
      </c>
    </row>
    <row r="10" spans="1:10" ht="12.75">
      <c r="A10" s="48" t="s">
        <v>31</v>
      </c>
      <c r="B10" s="9">
        <f>+recursos!H10</f>
        <v>31604120</v>
      </c>
      <c r="C10" s="59">
        <f>+B10/B9</f>
        <v>1</v>
      </c>
      <c r="D10" s="48"/>
      <c r="E10" s="48" t="s">
        <v>542</v>
      </c>
      <c r="F10" s="9">
        <f>+'res gral'!B11</f>
        <v>60013431.653</v>
      </c>
      <c r="G10" s="59">
        <f>+F10/F23</f>
        <v>0.5483824168596056</v>
      </c>
      <c r="I10" s="1"/>
      <c r="J10" s="1"/>
    </row>
    <row r="11" spans="1:10" ht="12.75">
      <c r="A11" s="48" t="s">
        <v>24</v>
      </c>
      <c r="B11" s="9">
        <f>+recursos!H22</f>
        <v>0</v>
      </c>
      <c r="C11" s="59">
        <f>+B11/B9</f>
        <v>0</v>
      </c>
      <c r="D11" s="48"/>
      <c r="E11" s="48" t="s">
        <v>543</v>
      </c>
      <c r="F11" s="9">
        <f>+'res gral'!B12</f>
        <v>4505600</v>
      </c>
      <c r="G11" s="59">
        <f>+F11/F23</f>
        <v>0.0411706471259443</v>
      </c>
      <c r="I11" s="1"/>
      <c r="J11" s="1"/>
    </row>
    <row r="12" spans="1:9" ht="12.75">
      <c r="A12" s="33" t="s">
        <v>824</v>
      </c>
      <c r="B12" s="41">
        <f>+SUM(B13:B15)</f>
        <v>31713160</v>
      </c>
      <c r="C12" s="58">
        <f>+B12/B8</f>
        <v>0.34938304397436</v>
      </c>
      <c r="D12" s="48"/>
      <c r="E12" s="48" t="s">
        <v>545</v>
      </c>
      <c r="F12" s="9">
        <f>+'res gral'!B13</f>
        <v>22086890</v>
      </c>
      <c r="G12" s="59">
        <f>+F12/F23</f>
        <v>0.2018225218171937</v>
      </c>
      <c r="I12" s="1"/>
    </row>
    <row r="13" spans="1:9" ht="12.75">
      <c r="A13" s="48" t="s">
        <v>32</v>
      </c>
      <c r="B13" s="9">
        <f>+recursos!H45</f>
        <v>30335080</v>
      </c>
      <c r="C13" s="59">
        <f>+B13/B12</f>
        <v>0.9565454845874709</v>
      </c>
      <c r="D13" s="48"/>
      <c r="E13" s="48" t="s">
        <v>546</v>
      </c>
      <c r="F13" s="9">
        <f>+'res gral'!B14</f>
        <v>1834000</v>
      </c>
      <c r="G13" s="59">
        <f>+F13/F23</f>
        <v>0.01675847097589263</v>
      </c>
      <c r="I13" s="1"/>
    </row>
    <row r="14" spans="1:7" ht="12.75">
      <c r="A14" s="48" t="s">
        <v>25</v>
      </c>
      <c r="B14" s="9">
        <f>+recursos!H47</f>
        <v>0</v>
      </c>
      <c r="C14" s="59">
        <f>+B14/B12</f>
        <v>0</v>
      </c>
      <c r="D14" s="48"/>
      <c r="E14" s="48" t="s">
        <v>547</v>
      </c>
      <c r="F14" s="9">
        <f>+'res gral'!B15</f>
        <v>2254640</v>
      </c>
      <c r="G14" s="59">
        <f>+F14/F23</f>
        <v>0.02060213685991634</v>
      </c>
    </row>
    <row r="15" spans="1:7" ht="12.75">
      <c r="A15" s="48" t="s">
        <v>26</v>
      </c>
      <c r="B15" s="9">
        <f>+recursos!H49</f>
        <v>1378080</v>
      </c>
      <c r="C15" s="59">
        <f>+B15/B12</f>
        <v>0.04345451541252906</v>
      </c>
      <c r="D15" s="48"/>
      <c r="E15" s="33" t="s">
        <v>548</v>
      </c>
      <c r="F15" s="41">
        <f>+SUM(F16:F18)</f>
        <v>15059850</v>
      </c>
      <c r="G15" s="58">
        <f>+F15/F23</f>
        <v>0.13761180977442566</v>
      </c>
    </row>
    <row r="16" spans="1:7" ht="12.75">
      <c r="A16" s="33" t="s">
        <v>540</v>
      </c>
      <c r="B16" s="41">
        <f>SUM(B17:B18)</f>
        <v>27451750</v>
      </c>
      <c r="C16" s="58">
        <f>+B16/B8</f>
        <v>0.30243520284396563</v>
      </c>
      <c r="D16" s="48"/>
      <c r="E16" s="48" t="s">
        <v>549</v>
      </c>
      <c r="F16" s="9">
        <f>+'res gral'!B19</f>
        <v>3391120</v>
      </c>
      <c r="G16" s="59">
        <f>+F16/F23</f>
        <v>0.030986906268140144</v>
      </c>
    </row>
    <row r="17" spans="1:7" ht="12.75">
      <c r="A17" s="48" t="s">
        <v>27</v>
      </c>
      <c r="B17" s="9">
        <f>+recursos!H52</f>
        <v>21029750</v>
      </c>
      <c r="C17" s="59">
        <f>+B17/B16</f>
        <v>0.766062272896992</v>
      </c>
      <c r="D17" s="48"/>
      <c r="E17" s="48" t="s">
        <v>550</v>
      </c>
      <c r="F17" s="9">
        <f>+'res gral'!B20</f>
        <v>11668730</v>
      </c>
      <c r="G17" s="59">
        <f>+F17/F23</f>
        <v>0.10662490350628552</v>
      </c>
    </row>
    <row r="18" spans="1:7" ht="12.75">
      <c r="A18" s="48" t="s">
        <v>823</v>
      </c>
      <c r="B18" s="9">
        <f>+recursos!H86</f>
        <v>6422000</v>
      </c>
      <c r="C18" s="59">
        <f>+B18/B16</f>
        <v>0.233937727103008</v>
      </c>
      <c r="D18" s="48"/>
      <c r="E18" s="48" t="s">
        <v>551</v>
      </c>
      <c r="F18" s="9">
        <f>+'res gral'!B21</f>
        <v>0</v>
      </c>
      <c r="G18" s="59">
        <f>+F18/F23</f>
        <v>0</v>
      </c>
    </row>
    <row r="19" spans="1:7" ht="12.75">
      <c r="A19" s="57" t="s">
        <v>809</v>
      </c>
      <c r="B19" s="41">
        <f>+SUM(B20:B24)</f>
        <v>10083360</v>
      </c>
      <c r="C19" s="58">
        <f>+B19/B25</f>
        <v>0.09998136881039706</v>
      </c>
      <c r="D19" s="48"/>
      <c r="E19" s="33" t="s">
        <v>553</v>
      </c>
      <c r="F19" s="41">
        <f>+SUM(F20:F21)</f>
        <v>3682780</v>
      </c>
      <c r="G19" s="58">
        <f>+F19/F23</f>
        <v>0.03365199658702174</v>
      </c>
    </row>
    <row r="20" spans="1:7" ht="12.75">
      <c r="A20" s="48" t="s">
        <v>28</v>
      </c>
      <c r="B20" s="9">
        <f>+recursos!H137</f>
        <v>0</v>
      </c>
      <c r="C20" s="59">
        <f>+B20/B19</f>
        <v>0</v>
      </c>
      <c r="D20" s="48"/>
      <c r="E20" s="48" t="s">
        <v>1063</v>
      </c>
      <c r="F20" s="9">
        <f>+'hac juris'!G26</f>
        <v>1546030</v>
      </c>
      <c r="G20" s="59">
        <f>+F20/F23</f>
        <v>0.014127098627513244</v>
      </c>
    </row>
    <row r="21" spans="1:7" ht="12.75">
      <c r="A21" s="48" t="s">
        <v>826</v>
      </c>
      <c r="B21" s="9">
        <f>+recursos!H143</f>
        <v>10560</v>
      </c>
      <c r="C21" s="59">
        <f>+B21/B19</f>
        <v>0.0010472699576331698</v>
      </c>
      <c r="D21" s="48"/>
      <c r="E21" s="48" t="s">
        <v>1064</v>
      </c>
      <c r="F21" s="9">
        <f>+'hac juris'!G27</f>
        <v>2136750</v>
      </c>
      <c r="G21" s="59">
        <f>+F21/F23</f>
        <v>0.019524897959508496</v>
      </c>
    </row>
    <row r="22" spans="1:7" ht="12.75">
      <c r="A22" s="48" t="s">
        <v>29</v>
      </c>
      <c r="B22" s="9">
        <f>+recursos!H168</f>
        <v>0</v>
      </c>
      <c r="C22" s="59">
        <f>+B22/B19</f>
        <v>0</v>
      </c>
      <c r="D22" s="48"/>
      <c r="E22" s="48"/>
      <c r="F22" s="9"/>
      <c r="G22" s="59"/>
    </row>
    <row r="23" spans="1:7" ht="12.75">
      <c r="A23" s="48" t="s">
        <v>827</v>
      </c>
      <c r="B23" s="9">
        <f>+recursos!H171</f>
        <v>0</v>
      </c>
      <c r="C23" s="59">
        <f>+B23/B19</f>
        <v>0</v>
      </c>
      <c r="D23" s="48"/>
      <c r="E23" s="43" t="s">
        <v>561</v>
      </c>
      <c r="F23" s="156">
        <f>+F8+F15+F19</f>
        <v>109437191.653</v>
      </c>
      <c r="G23" s="60">
        <f>+G8+G15+G19</f>
        <v>1</v>
      </c>
    </row>
    <row r="24" spans="1:7" ht="12.75">
      <c r="A24" s="48" t="s">
        <v>127</v>
      </c>
      <c r="B24" s="9">
        <f>+recursos!H173</f>
        <v>10072800</v>
      </c>
      <c r="C24" s="59">
        <f>+B24/B19</f>
        <v>0.9989527300423668</v>
      </c>
      <c r="D24" s="48"/>
      <c r="E24" s="80"/>
      <c r="F24" s="80"/>
      <c r="G24" s="62"/>
    </row>
    <row r="25" spans="1:7" ht="12.75">
      <c r="A25" s="33" t="s">
        <v>552</v>
      </c>
      <c r="B25" s="41">
        <f>+B8+B19</f>
        <v>100852390</v>
      </c>
      <c r="C25" s="58">
        <f>+B25/B37</f>
        <v>0.9214012473311973</v>
      </c>
      <c r="D25" s="48"/>
      <c r="E25" s="48"/>
      <c r="F25" s="9"/>
      <c r="G25" s="59"/>
    </row>
    <row r="26" spans="1:7" ht="12.75">
      <c r="A26" s="33" t="s">
        <v>634</v>
      </c>
      <c r="B26" s="41">
        <f>+B27+B31+B35</f>
        <v>8603062</v>
      </c>
      <c r="C26" s="58">
        <f>+B26/B37</f>
        <v>0.07859875266880265</v>
      </c>
      <c r="D26" s="48"/>
      <c r="E26" s="48"/>
      <c r="F26" s="9"/>
      <c r="G26" s="59"/>
    </row>
    <row r="27" spans="1:7" ht="12.75">
      <c r="A27" s="48" t="s">
        <v>562</v>
      </c>
      <c r="B27" s="9">
        <f>SUM(B28:B30)</f>
        <v>4136750</v>
      </c>
      <c r="C27" s="59">
        <f>+B27/B26</f>
        <v>0.48084623823471223</v>
      </c>
      <c r="D27" s="48"/>
      <c r="E27" s="48"/>
      <c r="F27" s="48"/>
      <c r="G27" s="48"/>
    </row>
    <row r="28" spans="1:7" ht="12.75">
      <c r="A28" s="48" t="s">
        <v>40</v>
      </c>
      <c r="B28" s="9">
        <f>+recursos!H185</f>
        <v>2000000</v>
      </c>
      <c r="C28" s="59">
        <f>+B28/B27</f>
        <v>0.4834713241070889</v>
      </c>
      <c r="D28" s="48"/>
      <c r="E28" s="48"/>
      <c r="F28" s="48"/>
      <c r="G28" s="48"/>
    </row>
    <row r="29" spans="1:7" ht="12.75">
      <c r="A29" s="48" t="s">
        <v>41</v>
      </c>
      <c r="B29" s="9">
        <f>+recursos!H191</f>
        <v>0</v>
      </c>
      <c r="C29" s="59">
        <f>+B29/B28</f>
        <v>0</v>
      </c>
      <c r="D29" s="48"/>
      <c r="E29" s="48"/>
      <c r="F29" s="48"/>
      <c r="G29" s="48"/>
    </row>
    <row r="30" spans="1:7" ht="12.75">
      <c r="A30" s="48" t="s">
        <v>42</v>
      </c>
      <c r="B30" s="9">
        <f>+recursos!H186</f>
        <v>2136750</v>
      </c>
      <c r="C30" s="59">
        <f>+B30/B27</f>
        <v>0.5165286758929111</v>
      </c>
      <c r="D30" s="48"/>
      <c r="E30" s="48"/>
      <c r="F30" s="48"/>
      <c r="G30" s="48"/>
    </row>
    <row r="31" spans="1:7" ht="12.75">
      <c r="A31" s="48" t="s">
        <v>560</v>
      </c>
      <c r="B31" s="9">
        <f>+B32+B33</f>
        <v>0</v>
      </c>
      <c r="C31" s="59">
        <f>+B31/B26</f>
        <v>0</v>
      </c>
      <c r="D31" s="48"/>
      <c r="E31" s="14" t="s">
        <v>563</v>
      </c>
      <c r="F31" s="61"/>
      <c r="G31" s="62"/>
    </row>
    <row r="32" spans="1:7" ht="12.75">
      <c r="A32" s="48" t="s">
        <v>43</v>
      </c>
      <c r="B32" s="9">
        <v>0</v>
      </c>
      <c r="C32" s="59">
        <v>0</v>
      </c>
      <c r="D32" s="48"/>
      <c r="E32" s="14"/>
      <c r="F32" s="61"/>
      <c r="G32" s="62"/>
    </row>
    <row r="33" spans="1:7" ht="12.75">
      <c r="A33" s="48" t="s">
        <v>44</v>
      </c>
      <c r="B33" s="9">
        <f>+recursos!H202+recursos!H203</f>
        <v>0</v>
      </c>
      <c r="C33" s="59">
        <v>0</v>
      </c>
      <c r="D33" s="48"/>
      <c r="E33" s="14"/>
      <c r="F33" s="61"/>
      <c r="G33" s="62"/>
    </row>
    <row r="34" spans="1:7" ht="12.75">
      <c r="A34" s="48" t="s">
        <v>828</v>
      </c>
      <c r="B34" s="9">
        <f>+recursos!H207</f>
        <v>0</v>
      </c>
      <c r="C34" s="59">
        <f>+B34/B26</f>
        <v>0</v>
      </c>
      <c r="D34" s="48"/>
      <c r="E34" s="48"/>
      <c r="F34" s="9"/>
      <c r="G34" s="59"/>
    </row>
    <row r="35" spans="1:7" ht="12.75">
      <c r="A35" s="48" t="s">
        <v>829</v>
      </c>
      <c r="B35" s="9">
        <f>+recursos!H208</f>
        <v>4466312</v>
      </c>
      <c r="C35" s="59">
        <f>+B35/B26</f>
        <v>0.5191537617652877</v>
      </c>
      <c r="D35" s="48"/>
      <c r="E35" s="48" t="s">
        <v>564</v>
      </c>
      <c r="F35" s="9">
        <f>+B37</f>
        <v>109455452</v>
      </c>
      <c r="G35" s="59"/>
    </row>
    <row r="36" spans="1:7" ht="12.75">
      <c r="A36" s="48" t="s">
        <v>830</v>
      </c>
      <c r="B36" s="9">
        <f>+recursos!H209</f>
        <v>0</v>
      </c>
      <c r="C36" s="59">
        <f>+B36/B26</f>
        <v>0</v>
      </c>
      <c r="D36" s="48"/>
      <c r="E36" s="48" t="s">
        <v>565</v>
      </c>
      <c r="F36" s="9">
        <f>+F23+I18</f>
        <v>109437191.653</v>
      </c>
      <c r="G36" s="59"/>
    </row>
    <row r="37" spans="1:7" ht="12.75">
      <c r="A37" s="57" t="s">
        <v>566</v>
      </c>
      <c r="B37" s="156">
        <f>+B25+B26</f>
        <v>109455452</v>
      </c>
      <c r="C37" s="60">
        <f>+C26+C25</f>
        <v>1</v>
      </c>
      <c r="E37" s="63" t="s">
        <v>567</v>
      </c>
      <c r="F37" s="156">
        <f>+F35-F36</f>
        <v>18260.34700000286</v>
      </c>
      <c r="G37" s="59"/>
    </row>
    <row r="38" spans="1:6" ht="12.75">
      <c r="A38" s="48"/>
      <c r="B38" s="9"/>
      <c r="C38" s="59"/>
      <c r="F38" s="16"/>
    </row>
    <row r="39" spans="1:2" ht="12.75">
      <c r="A39" s="90"/>
      <c r="B39" s="16"/>
    </row>
    <row r="41" ht="12.75">
      <c r="F41" s="16"/>
    </row>
  </sheetData>
  <sheetProtection/>
  <mergeCells count="3">
    <mergeCell ref="A2:G2"/>
    <mergeCell ref="A3:G3"/>
    <mergeCell ref="A4:G4"/>
  </mergeCells>
  <printOptions horizontalCentered="1"/>
  <pageMargins left="0.1968503937007874" right="0.1968503937007874" top="0.7" bottom="0.26" header="0.1968503937007874" footer="0.1968503937007874"/>
  <pageSetup fitToHeight="1" fitToWidth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4"/>
  <sheetViews>
    <sheetView zoomScale="75" zoomScaleNormal="75" zoomScaleSheetLayoutView="75" zoomScalePageLayoutView="0" workbookViewId="0" topLeftCell="A224">
      <selection activeCell="I5" sqref="I5"/>
    </sheetView>
  </sheetViews>
  <sheetFormatPr defaultColWidth="11.421875" defaultRowHeight="12.75"/>
  <cols>
    <col min="1" max="1" width="7.28125" style="48" customWidth="1"/>
    <col min="2" max="2" width="6.421875" style="48" bestFit="1" customWidth="1"/>
    <col min="3" max="3" width="7.7109375" style="48" bestFit="1" customWidth="1"/>
    <col min="4" max="4" width="9.140625" style="48" bestFit="1" customWidth="1"/>
    <col min="5" max="5" width="7.57421875" style="48" bestFit="1" customWidth="1"/>
    <col min="6" max="6" width="39.421875" style="48" bestFit="1" customWidth="1"/>
    <col min="7" max="7" width="14.421875" style="68" bestFit="1" customWidth="1"/>
  </cols>
  <sheetData>
    <row r="1" spans="1:7" ht="12.75">
      <c r="A1" s="54"/>
      <c r="F1" s="57" t="s">
        <v>368</v>
      </c>
      <c r="G1" s="48"/>
    </row>
    <row r="2" spans="1:7" ht="15">
      <c r="A2" s="761" t="s">
        <v>382</v>
      </c>
      <c r="B2" s="761"/>
      <c r="C2" s="761"/>
      <c r="D2" s="761"/>
      <c r="E2" s="761"/>
      <c r="F2" s="761"/>
      <c r="G2" s="761"/>
    </row>
    <row r="3" spans="1:7" ht="13.5" thickBot="1">
      <c r="A3" s="33" t="s">
        <v>698</v>
      </c>
      <c r="G3" s="14">
        <v>211</v>
      </c>
    </row>
    <row r="4" spans="1:7" ht="13.5" thickBot="1">
      <c r="A4" s="771" t="s">
        <v>621</v>
      </c>
      <c r="B4" s="772"/>
      <c r="C4" s="772"/>
      <c r="D4" s="772"/>
      <c r="E4" s="772"/>
      <c r="F4" s="293" t="s">
        <v>657</v>
      </c>
      <c r="G4" s="293" t="s">
        <v>658</v>
      </c>
    </row>
    <row r="5" spans="1:7" ht="13.5" thickBot="1">
      <c r="A5" s="242" t="s">
        <v>659</v>
      </c>
      <c r="B5" s="242" t="s">
        <v>660</v>
      </c>
      <c r="C5" s="242" t="s">
        <v>661</v>
      </c>
      <c r="D5" s="242" t="s">
        <v>625</v>
      </c>
      <c r="E5" s="292" t="s">
        <v>662</v>
      </c>
      <c r="F5" s="294" t="s">
        <v>663</v>
      </c>
      <c r="G5" s="294"/>
    </row>
    <row r="6" spans="1:7" ht="12.75">
      <c r="A6" s="187">
        <v>4</v>
      </c>
      <c r="B6" s="188"/>
      <c r="C6" s="188"/>
      <c r="D6" s="188"/>
      <c r="E6" s="209"/>
      <c r="F6" s="210" t="s">
        <v>539</v>
      </c>
      <c r="G6" s="212">
        <f>+G7+G13+G15</f>
        <v>1474530</v>
      </c>
    </row>
    <row r="7" spans="1:7" ht="12.75">
      <c r="A7" s="196">
        <v>4</v>
      </c>
      <c r="B7" s="193">
        <v>1</v>
      </c>
      <c r="C7" s="193"/>
      <c r="D7" s="193"/>
      <c r="E7" s="197"/>
      <c r="F7" s="198" t="s">
        <v>664</v>
      </c>
      <c r="G7" s="199">
        <f>+G8+G11+G12</f>
        <v>1474530</v>
      </c>
    </row>
    <row r="8" spans="1:7" ht="12.75">
      <c r="A8" s="196">
        <v>4</v>
      </c>
      <c r="B8" s="193">
        <v>1</v>
      </c>
      <c r="C8" s="193">
        <v>1</v>
      </c>
      <c r="D8" s="193"/>
      <c r="E8" s="197"/>
      <c r="F8" s="198" t="s">
        <v>644</v>
      </c>
      <c r="G8" s="199">
        <f>+G9+G10</f>
        <v>920240</v>
      </c>
    </row>
    <row r="9" spans="1:7" ht="12.75">
      <c r="A9" s="196">
        <v>4</v>
      </c>
      <c r="B9" s="193">
        <v>1</v>
      </c>
      <c r="C9" s="193">
        <v>1</v>
      </c>
      <c r="D9" s="193">
        <v>1</v>
      </c>
      <c r="E9" s="197"/>
      <c r="F9" s="198" t="s">
        <v>665</v>
      </c>
      <c r="G9" s="199">
        <f>+ANEXO2!D23</f>
        <v>673330</v>
      </c>
    </row>
    <row r="10" spans="1:7" ht="12.75">
      <c r="A10" s="196">
        <v>4</v>
      </c>
      <c r="B10" s="193">
        <v>1</v>
      </c>
      <c r="C10" s="193">
        <v>1</v>
      </c>
      <c r="D10" s="193">
        <v>2</v>
      </c>
      <c r="E10" s="197"/>
      <c r="F10" s="198" t="s">
        <v>682</v>
      </c>
      <c r="G10" s="199">
        <f>+ANEXO2!D42</f>
        <v>246910</v>
      </c>
    </row>
    <row r="11" spans="1:7" ht="12.75">
      <c r="A11" s="196">
        <v>4</v>
      </c>
      <c r="B11" s="193">
        <v>1</v>
      </c>
      <c r="C11" s="193">
        <v>2</v>
      </c>
      <c r="D11" s="193"/>
      <c r="E11" s="197"/>
      <c r="F11" s="198" t="s">
        <v>645</v>
      </c>
      <c r="G11" s="199">
        <f>+ANEXO2!G72</f>
        <v>75670</v>
      </c>
    </row>
    <row r="12" spans="1:7" ht="12.75">
      <c r="A12" s="196">
        <v>4</v>
      </c>
      <c r="B12" s="193">
        <v>1</v>
      </c>
      <c r="C12" s="193">
        <v>3</v>
      </c>
      <c r="D12" s="193"/>
      <c r="E12" s="197"/>
      <c r="F12" s="198" t="s">
        <v>646</v>
      </c>
      <c r="G12" s="199">
        <f>+ANEXO2!G99</f>
        <v>478620</v>
      </c>
    </row>
    <row r="13" spans="1:7" ht="12.75">
      <c r="A13" s="196">
        <v>4</v>
      </c>
      <c r="B13" s="193">
        <v>2</v>
      </c>
      <c r="C13" s="193"/>
      <c r="D13" s="193"/>
      <c r="E13" s="197"/>
      <c r="F13" s="198" t="s">
        <v>683</v>
      </c>
      <c r="G13" s="199">
        <f>+G14</f>
        <v>0</v>
      </c>
    </row>
    <row r="14" spans="1:7" ht="12.75">
      <c r="A14" s="196">
        <v>4</v>
      </c>
      <c r="B14" s="193">
        <v>2</v>
      </c>
      <c r="C14" s="193">
        <v>1</v>
      </c>
      <c r="D14" s="193"/>
      <c r="E14" s="197"/>
      <c r="F14" s="198" t="s">
        <v>684</v>
      </c>
      <c r="G14" s="201"/>
    </row>
    <row r="15" spans="1:7" ht="12.75">
      <c r="A15" s="196">
        <v>4</v>
      </c>
      <c r="B15" s="193">
        <v>3</v>
      </c>
      <c r="C15" s="193"/>
      <c r="D15" s="193"/>
      <c r="E15" s="197"/>
      <c r="F15" s="198" t="s">
        <v>685</v>
      </c>
      <c r="G15" s="199">
        <f>+G16</f>
        <v>0</v>
      </c>
    </row>
    <row r="16" spans="1:7" ht="12.75">
      <c r="A16" s="196">
        <v>4</v>
      </c>
      <c r="B16" s="193">
        <v>3</v>
      </c>
      <c r="C16" s="193">
        <v>1</v>
      </c>
      <c r="D16" s="193"/>
      <c r="E16" s="197"/>
      <c r="F16" s="198" t="s">
        <v>648</v>
      </c>
      <c r="G16" s="201">
        <v>0</v>
      </c>
    </row>
    <row r="17" spans="1:7" ht="12.75">
      <c r="A17" s="191">
        <v>5</v>
      </c>
      <c r="B17" s="193"/>
      <c r="C17" s="193"/>
      <c r="D17" s="193"/>
      <c r="E17" s="197"/>
      <c r="F17" s="198" t="s">
        <v>548</v>
      </c>
      <c r="G17" s="199">
        <f>+G18+G21+G22</f>
        <v>103410</v>
      </c>
    </row>
    <row r="18" spans="1:7" ht="12.75">
      <c r="A18" s="196">
        <v>5</v>
      </c>
      <c r="B18" s="193">
        <v>1</v>
      </c>
      <c r="C18" s="193"/>
      <c r="D18" s="193"/>
      <c r="E18" s="197"/>
      <c r="F18" s="198" t="s">
        <v>686</v>
      </c>
      <c r="G18" s="199">
        <f>+G19+G20</f>
        <v>103410</v>
      </c>
    </row>
    <row r="19" spans="1:7" ht="12.75">
      <c r="A19" s="196">
        <v>5</v>
      </c>
      <c r="B19" s="193">
        <v>1</v>
      </c>
      <c r="C19" s="193">
        <v>1</v>
      </c>
      <c r="D19" s="193"/>
      <c r="E19" s="197"/>
      <c r="F19" s="198" t="s">
        <v>649</v>
      </c>
      <c r="G19" s="201">
        <f>+ANEXO2!G119</f>
        <v>103410</v>
      </c>
    </row>
    <row r="20" spans="1:7" ht="12.75">
      <c r="A20" s="196">
        <v>5</v>
      </c>
      <c r="B20" s="193">
        <v>1</v>
      </c>
      <c r="C20" s="193">
        <v>2</v>
      </c>
      <c r="D20" s="193"/>
      <c r="E20" s="193"/>
      <c r="F20" s="198" t="s">
        <v>650</v>
      </c>
      <c r="G20" s="201"/>
    </row>
    <row r="21" spans="1:7" ht="12.75">
      <c r="A21" s="196">
        <v>5</v>
      </c>
      <c r="B21" s="193">
        <v>2</v>
      </c>
      <c r="C21" s="193"/>
      <c r="D21" s="193"/>
      <c r="E21" s="193"/>
      <c r="F21" s="198" t="s">
        <v>687</v>
      </c>
      <c r="G21" s="199">
        <v>0</v>
      </c>
    </row>
    <row r="22" spans="1:7" ht="12.75">
      <c r="A22" s="196">
        <v>5</v>
      </c>
      <c r="B22" s="193">
        <v>3</v>
      </c>
      <c r="C22" s="193"/>
      <c r="D22" s="193"/>
      <c r="E22" s="193"/>
      <c r="F22" s="198" t="s">
        <v>688</v>
      </c>
      <c r="G22" s="199">
        <f>+G23</f>
        <v>0</v>
      </c>
    </row>
    <row r="23" spans="1:7" ht="12.75">
      <c r="A23" s="196">
        <v>5</v>
      </c>
      <c r="B23" s="193">
        <v>3</v>
      </c>
      <c r="C23" s="193">
        <v>1</v>
      </c>
      <c r="D23" s="193"/>
      <c r="E23" s="193"/>
      <c r="F23" s="198" t="s">
        <v>651</v>
      </c>
      <c r="G23" s="201"/>
    </row>
    <row r="24" spans="1:7" ht="12.75">
      <c r="A24" s="191">
        <v>6</v>
      </c>
      <c r="B24" s="193"/>
      <c r="C24" s="193"/>
      <c r="D24" s="193"/>
      <c r="E24" s="193"/>
      <c r="F24" s="198" t="s">
        <v>553</v>
      </c>
      <c r="G24" s="199">
        <f>+G25</f>
        <v>0</v>
      </c>
    </row>
    <row r="25" spans="1:7" ht="12.75">
      <c r="A25" s="196">
        <v>6</v>
      </c>
      <c r="B25" s="193">
        <v>1</v>
      </c>
      <c r="C25" s="193"/>
      <c r="D25" s="193"/>
      <c r="E25" s="193"/>
      <c r="F25" s="198" t="s">
        <v>689</v>
      </c>
      <c r="G25" s="199">
        <f>+G26</f>
        <v>0</v>
      </c>
    </row>
    <row r="26" spans="1:7" ht="13.5" thickBot="1">
      <c r="A26" s="204">
        <v>6</v>
      </c>
      <c r="B26" s="205">
        <v>1</v>
      </c>
      <c r="C26" s="205">
        <v>1</v>
      </c>
      <c r="D26" s="205"/>
      <c r="E26" s="205"/>
      <c r="F26" s="271" t="s">
        <v>652</v>
      </c>
      <c r="G26" s="208"/>
    </row>
    <row r="27" spans="6:7" ht="13.5" thickBot="1">
      <c r="F27" s="295" t="s">
        <v>690</v>
      </c>
      <c r="G27" s="184">
        <f>+G6+G17+G24</f>
        <v>1577940</v>
      </c>
    </row>
    <row r="28" ht="12.75">
      <c r="G28" s="9"/>
    </row>
    <row r="29" spans="1:7" ht="12.75">
      <c r="A29" s="67"/>
      <c r="F29" s="57" t="s">
        <v>368</v>
      </c>
      <c r="G29" s="655"/>
    </row>
    <row r="30" spans="1:7" ht="15">
      <c r="A30" s="777" t="str">
        <f>+A229</f>
        <v>PRESUPUESTO AÑO 2008</v>
      </c>
      <c r="B30" s="777"/>
      <c r="C30" s="777"/>
      <c r="D30" s="777"/>
      <c r="E30" s="777"/>
      <c r="F30" s="777"/>
      <c r="G30" s="777"/>
    </row>
    <row r="31" spans="1:7" ht="13.5" thickBot="1">
      <c r="A31" s="33" t="s">
        <v>85</v>
      </c>
      <c r="G31" s="14">
        <v>221</v>
      </c>
    </row>
    <row r="32" spans="1:7" ht="13.5" thickBot="1">
      <c r="A32" s="771" t="s">
        <v>621</v>
      </c>
      <c r="B32" s="772"/>
      <c r="C32" s="772"/>
      <c r="D32" s="772"/>
      <c r="E32" s="772"/>
      <c r="F32" s="293" t="s">
        <v>657</v>
      </c>
      <c r="G32" s="293" t="s">
        <v>658</v>
      </c>
    </row>
    <row r="33" spans="1:7" ht="13.5" thickBot="1">
      <c r="A33" s="242" t="s">
        <v>659</v>
      </c>
      <c r="B33" s="242" t="s">
        <v>660</v>
      </c>
      <c r="C33" s="242" t="s">
        <v>661</v>
      </c>
      <c r="D33" s="242" t="s">
        <v>625</v>
      </c>
      <c r="E33" s="292" t="s">
        <v>662</v>
      </c>
      <c r="F33" s="294" t="s">
        <v>663</v>
      </c>
      <c r="G33" s="294"/>
    </row>
    <row r="34" spans="1:7" ht="12.75">
      <c r="A34" s="187">
        <v>4</v>
      </c>
      <c r="B34" s="188"/>
      <c r="C34" s="188"/>
      <c r="D34" s="188"/>
      <c r="E34" s="209"/>
      <c r="F34" s="210" t="s">
        <v>539</v>
      </c>
      <c r="G34" s="212">
        <f>+G35+G41+G43</f>
        <v>2457240</v>
      </c>
    </row>
    <row r="35" spans="1:7" ht="12.75">
      <c r="A35" s="196">
        <v>4</v>
      </c>
      <c r="B35" s="193">
        <v>1</v>
      </c>
      <c r="C35" s="193"/>
      <c r="D35" s="193"/>
      <c r="E35" s="197"/>
      <c r="F35" s="198" t="s">
        <v>664</v>
      </c>
      <c r="G35" s="199">
        <f>+G36+G39+G40</f>
        <v>2457240</v>
      </c>
    </row>
    <row r="36" spans="1:7" ht="12.75">
      <c r="A36" s="196">
        <v>4</v>
      </c>
      <c r="B36" s="193">
        <v>1</v>
      </c>
      <c r="C36" s="193">
        <v>1</v>
      </c>
      <c r="D36" s="193"/>
      <c r="E36" s="197"/>
      <c r="F36" s="198" t="s">
        <v>644</v>
      </c>
      <c r="G36" s="199">
        <f>+G37+G38</f>
        <v>2232100</v>
      </c>
    </row>
    <row r="37" spans="1:7" ht="12.75">
      <c r="A37" s="196">
        <v>4</v>
      </c>
      <c r="B37" s="193">
        <v>1</v>
      </c>
      <c r="C37" s="193">
        <v>1</v>
      </c>
      <c r="D37" s="193">
        <v>1</v>
      </c>
      <c r="E37" s="197"/>
      <c r="F37" s="198" t="s">
        <v>665</v>
      </c>
      <c r="G37" s="199">
        <f>+ANEXO2!D143</f>
        <v>2097610</v>
      </c>
    </row>
    <row r="38" spans="1:7" ht="12.75">
      <c r="A38" s="196">
        <v>4</v>
      </c>
      <c r="B38" s="193">
        <v>1</v>
      </c>
      <c r="C38" s="193">
        <v>1</v>
      </c>
      <c r="D38" s="193">
        <v>2</v>
      </c>
      <c r="E38" s="197"/>
      <c r="F38" s="198" t="s">
        <v>682</v>
      </c>
      <c r="G38" s="199">
        <f>+ANEXO2!D162</f>
        <v>134490</v>
      </c>
    </row>
    <row r="39" spans="1:7" ht="12.75">
      <c r="A39" s="196">
        <v>4</v>
      </c>
      <c r="B39" s="193">
        <v>1</v>
      </c>
      <c r="C39" s="193">
        <v>2</v>
      </c>
      <c r="D39" s="193"/>
      <c r="E39" s="197"/>
      <c r="F39" s="198" t="s">
        <v>645</v>
      </c>
      <c r="G39" s="199">
        <f>+ANEXO2!D192</f>
        <v>80200</v>
      </c>
    </row>
    <row r="40" spans="1:7" ht="12.75">
      <c r="A40" s="196">
        <v>4</v>
      </c>
      <c r="B40" s="193">
        <v>1</v>
      </c>
      <c r="C40" s="193">
        <v>3</v>
      </c>
      <c r="D40" s="193"/>
      <c r="E40" s="197"/>
      <c r="F40" s="198" t="s">
        <v>646</v>
      </c>
      <c r="G40" s="199">
        <f>+ANEXO2!D219</f>
        <v>144940</v>
      </c>
    </row>
    <row r="41" spans="1:7" ht="12.75">
      <c r="A41" s="196">
        <v>4</v>
      </c>
      <c r="B41" s="193">
        <v>2</v>
      </c>
      <c r="C41" s="193"/>
      <c r="D41" s="193"/>
      <c r="E41" s="197"/>
      <c r="F41" s="198" t="s">
        <v>683</v>
      </c>
      <c r="G41" s="199">
        <f>+G42</f>
        <v>0</v>
      </c>
    </row>
    <row r="42" spans="1:7" ht="12.75">
      <c r="A42" s="196">
        <v>4</v>
      </c>
      <c r="B42" s="193">
        <v>2</v>
      </c>
      <c r="C42" s="193">
        <v>1</v>
      </c>
      <c r="D42" s="193"/>
      <c r="E42" s="197"/>
      <c r="F42" s="198" t="s">
        <v>684</v>
      </c>
      <c r="G42" s="201"/>
    </row>
    <row r="43" spans="1:7" ht="12.75">
      <c r="A43" s="196">
        <v>4</v>
      </c>
      <c r="B43" s="193">
        <v>3</v>
      </c>
      <c r="C43" s="193"/>
      <c r="D43" s="193"/>
      <c r="E43" s="197"/>
      <c r="F43" s="198" t="s">
        <v>685</v>
      </c>
      <c r="G43" s="199">
        <f>+G44</f>
        <v>0</v>
      </c>
    </row>
    <row r="44" spans="1:7" ht="12.75">
      <c r="A44" s="196">
        <v>4</v>
      </c>
      <c r="B44" s="193">
        <v>3</v>
      </c>
      <c r="C44" s="193">
        <v>1</v>
      </c>
      <c r="D44" s="193"/>
      <c r="E44" s="197"/>
      <c r="F44" s="198" t="s">
        <v>648</v>
      </c>
      <c r="G44" s="201"/>
    </row>
    <row r="45" spans="1:7" ht="12.75">
      <c r="A45" s="191">
        <v>5</v>
      </c>
      <c r="B45" s="193"/>
      <c r="C45" s="193"/>
      <c r="D45" s="193"/>
      <c r="E45" s="197"/>
      <c r="F45" s="198" t="s">
        <v>548</v>
      </c>
      <c r="G45" s="199">
        <f>+G46+G49+G50</f>
        <v>91060</v>
      </c>
    </row>
    <row r="46" spans="1:7" ht="12.75">
      <c r="A46" s="196">
        <v>5</v>
      </c>
      <c r="B46" s="193">
        <v>1</v>
      </c>
      <c r="C46" s="193"/>
      <c r="D46" s="193"/>
      <c r="E46" s="197"/>
      <c r="F46" s="198" t="s">
        <v>686</v>
      </c>
      <c r="G46" s="199">
        <f>+G47+G48</f>
        <v>91060</v>
      </c>
    </row>
    <row r="47" spans="1:7" ht="12.75">
      <c r="A47" s="196">
        <v>5</v>
      </c>
      <c r="B47" s="193">
        <v>1</v>
      </c>
      <c r="C47" s="193">
        <v>1</v>
      </c>
      <c r="D47" s="193"/>
      <c r="E47" s="197"/>
      <c r="F47" s="198" t="s">
        <v>649</v>
      </c>
      <c r="G47" s="201">
        <f>+ANEXO2!D240</f>
        <v>91060</v>
      </c>
    </row>
    <row r="48" spans="1:7" ht="12.75">
      <c r="A48" s="196">
        <v>5</v>
      </c>
      <c r="B48" s="193">
        <v>1</v>
      </c>
      <c r="C48" s="193">
        <v>2</v>
      </c>
      <c r="D48" s="193"/>
      <c r="E48" s="193"/>
      <c r="F48" s="198" t="s">
        <v>650</v>
      </c>
      <c r="G48" s="201"/>
    </row>
    <row r="49" spans="1:7" ht="12.75">
      <c r="A49" s="196">
        <v>5</v>
      </c>
      <c r="B49" s="193">
        <v>2</v>
      </c>
      <c r="C49" s="193"/>
      <c r="D49" s="193"/>
      <c r="E49" s="193"/>
      <c r="F49" s="198" t="s">
        <v>687</v>
      </c>
      <c r="G49" s="199">
        <v>0</v>
      </c>
    </row>
    <row r="50" spans="1:7" ht="12.75">
      <c r="A50" s="196">
        <v>5</v>
      </c>
      <c r="B50" s="193">
        <v>3</v>
      </c>
      <c r="C50" s="193"/>
      <c r="D50" s="193"/>
      <c r="E50" s="193"/>
      <c r="F50" s="198" t="s">
        <v>688</v>
      </c>
      <c r="G50" s="199">
        <f>+G51</f>
        <v>0</v>
      </c>
    </row>
    <row r="51" spans="1:7" ht="12.75">
      <c r="A51" s="196">
        <v>5</v>
      </c>
      <c r="B51" s="193">
        <v>3</v>
      </c>
      <c r="C51" s="193">
        <v>1</v>
      </c>
      <c r="D51" s="193"/>
      <c r="E51" s="193"/>
      <c r="F51" s="198" t="s">
        <v>651</v>
      </c>
      <c r="G51" s="201"/>
    </row>
    <row r="52" spans="1:7" ht="12.75">
      <c r="A52" s="191">
        <v>6</v>
      </c>
      <c r="B52" s="193"/>
      <c r="C52" s="193"/>
      <c r="D52" s="193"/>
      <c r="E52" s="193"/>
      <c r="F52" s="198" t="s">
        <v>553</v>
      </c>
      <c r="G52" s="199">
        <f>+G53</f>
        <v>0</v>
      </c>
    </row>
    <row r="53" spans="1:7" ht="12.75">
      <c r="A53" s="196">
        <v>6</v>
      </c>
      <c r="B53" s="193">
        <v>1</v>
      </c>
      <c r="C53" s="193"/>
      <c r="D53" s="193"/>
      <c r="E53" s="193"/>
      <c r="F53" s="198" t="s">
        <v>689</v>
      </c>
      <c r="G53" s="199">
        <f>+G54</f>
        <v>0</v>
      </c>
    </row>
    <row r="54" spans="1:7" ht="13.5" thickBot="1">
      <c r="A54" s="204">
        <v>6</v>
      </c>
      <c r="B54" s="205">
        <v>1</v>
      </c>
      <c r="C54" s="205">
        <v>1</v>
      </c>
      <c r="D54" s="205"/>
      <c r="E54" s="205"/>
      <c r="F54" s="271" t="s">
        <v>652</v>
      </c>
      <c r="G54" s="208"/>
    </row>
    <row r="55" spans="6:7" ht="13.5" thickBot="1">
      <c r="F55" s="295" t="s">
        <v>690</v>
      </c>
      <c r="G55" s="184">
        <f>+G34+G45+G52</f>
        <v>2548300</v>
      </c>
    </row>
    <row r="57" spans="1:6" ht="12.75">
      <c r="A57" s="82"/>
      <c r="F57" s="57" t="s">
        <v>368</v>
      </c>
    </row>
    <row r="58" spans="1:7" ht="15">
      <c r="A58" s="777" t="str">
        <f>+A30</f>
        <v>PRESUPUESTO AÑO 2008</v>
      </c>
      <c r="B58" s="777"/>
      <c r="C58" s="777"/>
      <c r="D58" s="777"/>
      <c r="E58" s="777"/>
      <c r="F58" s="777"/>
      <c r="G58" s="777"/>
    </row>
    <row r="59" spans="1:7" ht="13.5" thickBot="1">
      <c r="A59" s="33" t="s">
        <v>419</v>
      </c>
      <c r="G59" s="14">
        <v>231</v>
      </c>
    </row>
    <row r="60" spans="1:7" ht="13.5" thickBot="1">
      <c r="A60" s="771" t="s">
        <v>621</v>
      </c>
      <c r="B60" s="772"/>
      <c r="C60" s="772"/>
      <c r="D60" s="772"/>
      <c r="E60" s="772"/>
      <c r="F60" s="293" t="s">
        <v>657</v>
      </c>
      <c r="G60" s="293" t="s">
        <v>658</v>
      </c>
    </row>
    <row r="61" spans="1:7" ht="13.5" thickBot="1">
      <c r="A61" s="242" t="s">
        <v>659</v>
      </c>
      <c r="B61" s="242" t="s">
        <v>660</v>
      </c>
      <c r="C61" s="242" t="s">
        <v>661</v>
      </c>
      <c r="D61" s="242" t="s">
        <v>625</v>
      </c>
      <c r="E61" s="292" t="s">
        <v>662</v>
      </c>
      <c r="F61" s="294" t="s">
        <v>663</v>
      </c>
      <c r="G61" s="294"/>
    </row>
    <row r="62" spans="1:7" ht="12.75">
      <c r="A62" s="187">
        <v>4</v>
      </c>
      <c r="B62" s="188"/>
      <c r="C62" s="188"/>
      <c r="D62" s="188"/>
      <c r="E62" s="209"/>
      <c r="F62" s="210" t="s">
        <v>539</v>
      </c>
      <c r="G62" s="212">
        <f>+G63+G69+G71</f>
        <v>2122780</v>
      </c>
    </row>
    <row r="63" spans="1:7" ht="12.75">
      <c r="A63" s="196">
        <v>4</v>
      </c>
      <c r="B63" s="193">
        <v>1</v>
      </c>
      <c r="C63" s="193"/>
      <c r="D63" s="193"/>
      <c r="E63" s="197"/>
      <c r="F63" s="198" t="s">
        <v>664</v>
      </c>
      <c r="G63" s="199">
        <f>+G64+G67+G68</f>
        <v>2122780</v>
      </c>
    </row>
    <row r="64" spans="1:7" ht="12.75">
      <c r="A64" s="196">
        <v>4</v>
      </c>
      <c r="B64" s="193">
        <v>1</v>
      </c>
      <c r="C64" s="193">
        <v>1</v>
      </c>
      <c r="D64" s="193"/>
      <c r="E64" s="197"/>
      <c r="F64" s="198" t="s">
        <v>644</v>
      </c>
      <c r="G64" s="199">
        <f>+G65+G66</f>
        <v>1612710</v>
      </c>
    </row>
    <row r="65" spans="1:7" ht="12.75">
      <c r="A65" s="196">
        <v>4</v>
      </c>
      <c r="B65" s="193">
        <v>1</v>
      </c>
      <c r="C65" s="193">
        <v>1</v>
      </c>
      <c r="D65" s="193">
        <v>1</v>
      </c>
      <c r="E65" s="197"/>
      <c r="F65" s="198" t="s">
        <v>665</v>
      </c>
      <c r="G65" s="199">
        <f>+ANEXO2!C$264</f>
        <v>1474760</v>
      </c>
    </row>
    <row r="66" spans="1:7" ht="12.75">
      <c r="A66" s="196">
        <v>4</v>
      </c>
      <c r="B66" s="193">
        <v>1</v>
      </c>
      <c r="C66" s="193">
        <v>1</v>
      </c>
      <c r="D66" s="193">
        <v>2</v>
      </c>
      <c r="E66" s="197"/>
      <c r="F66" s="198" t="s">
        <v>682</v>
      </c>
      <c r="G66" s="199">
        <f>+ANEXO2!C$283</f>
        <v>137950</v>
      </c>
    </row>
    <row r="67" spans="1:7" ht="12.75">
      <c r="A67" s="196">
        <v>4</v>
      </c>
      <c r="B67" s="193">
        <v>1</v>
      </c>
      <c r="C67" s="193">
        <v>2</v>
      </c>
      <c r="D67" s="193"/>
      <c r="E67" s="197"/>
      <c r="F67" s="198" t="s">
        <v>645</v>
      </c>
      <c r="G67" s="199">
        <f>+ANEXO2!C$313</f>
        <v>76250</v>
      </c>
    </row>
    <row r="68" spans="1:7" ht="12.75">
      <c r="A68" s="196">
        <v>4</v>
      </c>
      <c r="B68" s="193">
        <v>1</v>
      </c>
      <c r="C68" s="193">
        <v>3</v>
      </c>
      <c r="D68" s="193"/>
      <c r="E68" s="197"/>
      <c r="F68" s="198" t="s">
        <v>646</v>
      </c>
      <c r="G68" s="199">
        <f>+ANEXO2!C$340</f>
        <v>433820</v>
      </c>
    </row>
    <row r="69" spans="1:7" ht="12.75">
      <c r="A69" s="196">
        <v>4</v>
      </c>
      <c r="B69" s="193">
        <v>2</v>
      </c>
      <c r="C69" s="193"/>
      <c r="D69" s="193"/>
      <c r="E69" s="197"/>
      <c r="F69" s="198" t="s">
        <v>683</v>
      </c>
      <c r="G69" s="199">
        <f>+G70</f>
        <v>0</v>
      </c>
    </row>
    <row r="70" spans="1:7" ht="12.75">
      <c r="A70" s="196">
        <v>4</v>
      </c>
      <c r="B70" s="193">
        <v>2</v>
      </c>
      <c r="C70" s="193">
        <v>1</v>
      </c>
      <c r="D70" s="193"/>
      <c r="E70" s="197"/>
      <c r="F70" s="198" t="s">
        <v>684</v>
      </c>
      <c r="G70" s="201"/>
    </row>
    <row r="71" spans="1:7" ht="12.75">
      <c r="A71" s="196">
        <v>4</v>
      </c>
      <c r="B71" s="193">
        <v>3</v>
      </c>
      <c r="C71" s="193"/>
      <c r="D71" s="193"/>
      <c r="E71" s="197"/>
      <c r="F71" s="198" t="s">
        <v>685</v>
      </c>
      <c r="G71" s="199">
        <f>+G72</f>
        <v>0</v>
      </c>
    </row>
    <row r="72" spans="1:7" ht="12.75">
      <c r="A72" s="196">
        <v>4</v>
      </c>
      <c r="B72" s="193">
        <v>3</v>
      </c>
      <c r="C72" s="193">
        <v>1</v>
      </c>
      <c r="D72" s="193"/>
      <c r="E72" s="197"/>
      <c r="F72" s="198" t="s">
        <v>648</v>
      </c>
      <c r="G72" s="201"/>
    </row>
    <row r="73" spans="1:7" ht="12.75">
      <c r="A73" s="191">
        <v>5</v>
      </c>
      <c r="B73" s="193"/>
      <c r="C73" s="193"/>
      <c r="D73" s="193"/>
      <c r="E73" s="197"/>
      <c r="F73" s="198" t="s">
        <v>548</v>
      </c>
      <c r="G73" s="199">
        <f>+G74+G77+G78</f>
        <v>4040</v>
      </c>
    </row>
    <row r="74" spans="1:7" ht="12.75">
      <c r="A74" s="196">
        <v>5</v>
      </c>
      <c r="B74" s="193">
        <v>1</v>
      </c>
      <c r="C74" s="193"/>
      <c r="D74" s="193"/>
      <c r="E74" s="197"/>
      <c r="F74" s="198" t="s">
        <v>686</v>
      </c>
      <c r="G74" s="199">
        <f>+G75+G76</f>
        <v>4040</v>
      </c>
    </row>
    <row r="75" spans="1:7" ht="12.75">
      <c r="A75" s="196">
        <v>5</v>
      </c>
      <c r="B75" s="193">
        <v>1</v>
      </c>
      <c r="C75" s="193">
        <v>1</v>
      </c>
      <c r="D75" s="193"/>
      <c r="E75" s="197"/>
      <c r="F75" s="198" t="s">
        <v>649</v>
      </c>
      <c r="G75" s="201">
        <f>+ANEXO2!C$362</f>
        <v>4040</v>
      </c>
    </row>
    <row r="76" spans="1:7" ht="12.75">
      <c r="A76" s="196">
        <v>5</v>
      </c>
      <c r="B76" s="193">
        <v>1</v>
      </c>
      <c r="C76" s="193">
        <v>2</v>
      </c>
      <c r="D76" s="193"/>
      <c r="E76" s="193"/>
      <c r="F76" s="198" t="s">
        <v>650</v>
      </c>
      <c r="G76" s="201"/>
    </row>
    <row r="77" spans="1:7" ht="12.75">
      <c r="A77" s="196">
        <v>5</v>
      </c>
      <c r="B77" s="193">
        <v>2</v>
      </c>
      <c r="C77" s="193"/>
      <c r="D77" s="193"/>
      <c r="E77" s="193"/>
      <c r="F77" s="198" t="s">
        <v>687</v>
      </c>
      <c r="G77" s="199">
        <v>0</v>
      </c>
    </row>
    <row r="78" spans="1:7" ht="12.75">
      <c r="A78" s="196">
        <v>5</v>
      </c>
      <c r="B78" s="193">
        <v>3</v>
      </c>
      <c r="C78" s="193"/>
      <c r="D78" s="193"/>
      <c r="E78" s="193"/>
      <c r="F78" s="198" t="s">
        <v>688</v>
      </c>
      <c r="G78" s="199">
        <f>+G79</f>
        <v>0</v>
      </c>
    </row>
    <row r="79" spans="1:7" ht="12.75">
      <c r="A79" s="196">
        <v>5</v>
      </c>
      <c r="B79" s="193">
        <v>3</v>
      </c>
      <c r="C79" s="193">
        <v>1</v>
      </c>
      <c r="D79" s="193"/>
      <c r="E79" s="193"/>
      <c r="F79" s="198" t="s">
        <v>651</v>
      </c>
      <c r="G79" s="201"/>
    </row>
    <row r="80" spans="1:7" ht="12.75">
      <c r="A80" s="191">
        <v>6</v>
      </c>
      <c r="B80" s="193"/>
      <c r="C80" s="193"/>
      <c r="D80" s="193"/>
      <c r="E80" s="193"/>
      <c r="F80" s="198" t="s">
        <v>553</v>
      </c>
      <c r="G80" s="199">
        <f>+G81</f>
        <v>0</v>
      </c>
    </row>
    <row r="81" spans="1:7" ht="12.75">
      <c r="A81" s="196">
        <v>6</v>
      </c>
      <c r="B81" s="193">
        <v>1</v>
      </c>
      <c r="C81" s="193"/>
      <c r="D81" s="193"/>
      <c r="E81" s="193"/>
      <c r="F81" s="198" t="s">
        <v>689</v>
      </c>
      <c r="G81" s="199">
        <f>+G82</f>
        <v>0</v>
      </c>
    </row>
    <row r="82" spans="1:7" ht="13.5" thickBot="1">
      <c r="A82" s="204">
        <v>6</v>
      </c>
      <c r="B82" s="205">
        <v>1</v>
      </c>
      <c r="C82" s="205">
        <v>1</v>
      </c>
      <c r="D82" s="205"/>
      <c r="E82" s="205"/>
      <c r="F82" s="271" t="s">
        <v>652</v>
      </c>
      <c r="G82" s="208"/>
    </row>
    <row r="83" spans="6:7" ht="13.5" thickBot="1">
      <c r="F83" s="295" t="s">
        <v>690</v>
      </c>
      <c r="G83" s="184">
        <f>+G62+G73+G80</f>
        <v>2126820</v>
      </c>
    </row>
    <row r="84" spans="1:7" ht="12.75">
      <c r="A84" s="74" t="s">
        <v>76</v>
      </c>
      <c r="G84" s="48"/>
    </row>
    <row r="86" spans="1:6" ht="12.75">
      <c r="A86" s="82"/>
      <c r="F86" s="57" t="s">
        <v>368</v>
      </c>
    </row>
    <row r="87" spans="1:7" ht="15">
      <c r="A87" s="777" t="str">
        <f>+A58</f>
        <v>PRESUPUESTO AÑO 2008</v>
      </c>
      <c r="B87" s="777"/>
      <c r="C87" s="777"/>
      <c r="D87" s="777"/>
      <c r="E87" s="777"/>
      <c r="F87" s="777"/>
      <c r="G87" s="777"/>
    </row>
    <row r="88" spans="1:7" ht="13.5" thickBot="1">
      <c r="A88" s="33" t="s">
        <v>1019</v>
      </c>
      <c r="G88" s="14">
        <v>241</v>
      </c>
    </row>
    <row r="89" spans="1:7" ht="13.5" thickBot="1">
      <c r="A89" s="771" t="s">
        <v>621</v>
      </c>
      <c r="B89" s="772"/>
      <c r="C89" s="772"/>
      <c r="D89" s="772"/>
      <c r="E89" s="772"/>
      <c r="F89" s="293" t="s">
        <v>657</v>
      </c>
      <c r="G89" s="293" t="s">
        <v>658</v>
      </c>
    </row>
    <row r="90" spans="1:7" ht="13.5" thickBot="1">
      <c r="A90" s="242" t="s">
        <v>659</v>
      </c>
      <c r="B90" s="242" t="s">
        <v>660</v>
      </c>
      <c r="C90" s="242" t="s">
        <v>661</v>
      </c>
      <c r="D90" s="242" t="s">
        <v>625</v>
      </c>
      <c r="E90" s="292" t="s">
        <v>662</v>
      </c>
      <c r="F90" s="294" t="s">
        <v>663</v>
      </c>
      <c r="G90" s="294"/>
    </row>
    <row r="91" spans="1:7" ht="12.75">
      <c r="A91" s="187">
        <v>4</v>
      </c>
      <c r="B91" s="188"/>
      <c r="C91" s="188"/>
      <c r="D91" s="188"/>
      <c r="E91" s="209"/>
      <c r="F91" s="210" t="s">
        <v>539</v>
      </c>
      <c r="G91" s="212">
        <f>+G92+G98+G100</f>
        <v>3565160</v>
      </c>
    </row>
    <row r="92" spans="1:7" ht="12.75">
      <c r="A92" s="196">
        <v>4</v>
      </c>
      <c r="B92" s="193">
        <v>1</v>
      </c>
      <c r="C92" s="193"/>
      <c r="D92" s="193"/>
      <c r="E92" s="197"/>
      <c r="F92" s="198" t="s">
        <v>664</v>
      </c>
      <c r="G92" s="199">
        <f>+G93+G96+G97</f>
        <v>3565160</v>
      </c>
    </row>
    <row r="93" spans="1:7" ht="12.75">
      <c r="A93" s="196">
        <v>4</v>
      </c>
      <c r="B93" s="193">
        <v>1</v>
      </c>
      <c r="C93" s="193">
        <v>1</v>
      </c>
      <c r="D93" s="193"/>
      <c r="E93" s="197"/>
      <c r="F93" s="198" t="s">
        <v>644</v>
      </c>
      <c r="G93" s="199">
        <f>+G94+G95</f>
        <v>1732160</v>
      </c>
    </row>
    <row r="94" spans="1:7" ht="12.75">
      <c r="A94" s="196">
        <v>4</v>
      </c>
      <c r="B94" s="193">
        <v>1</v>
      </c>
      <c r="C94" s="193">
        <v>1</v>
      </c>
      <c r="D94" s="193">
        <v>1</v>
      </c>
      <c r="E94" s="197"/>
      <c r="F94" s="198" t="s">
        <v>665</v>
      </c>
      <c r="G94" s="199">
        <f>+ANEXO2!D386</f>
        <v>1464230</v>
      </c>
    </row>
    <row r="95" spans="1:7" ht="12.75">
      <c r="A95" s="196">
        <v>4</v>
      </c>
      <c r="B95" s="193">
        <v>1</v>
      </c>
      <c r="C95" s="193">
        <v>1</v>
      </c>
      <c r="D95" s="193">
        <v>2</v>
      </c>
      <c r="E95" s="197"/>
      <c r="F95" s="198" t="s">
        <v>682</v>
      </c>
      <c r="G95" s="199">
        <f>+ANEXO2!D405</f>
        <v>267930</v>
      </c>
    </row>
    <row r="96" spans="1:7" ht="12.75">
      <c r="A96" s="196">
        <v>4</v>
      </c>
      <c r="B96" s="193">
        <v>1</v>
      </c>
      <c r="C96" s="193">
        <v>2</v>
      </c>
      <c r="D96" s="193"/>
      <c r="E96" s="197"/>
      <c r="F96" s="198" t="s">
        <v>645</v>
      </c>
      <c r="G96" s="199">
        <f>+ANEXO2!D435</f>
        <v>157280</v>
      </c>
    </row>
    <row r="97" spans="1:7" ht="12.75">
      <c r="A97" s="196">
        <v>4</v>
      </c>
      <c r="B97" s="193">
        <v>1</v>
      </c>
      <c r="C97" s="193">
        <v>3</v>
      </c>
      <c r="D97" s="193"/>
      <c r="E97" s="197"/>
      <c r="F97" s="198" t="s">
        <v>646</v>
      </c>
      <c r="G97" s="199">
        <f>+ANEXO2!D465</f>
        <v>1675720</v>
      </c>
    </row>
    <row r="98" spans="1:7" ht="12.75">
      <c r="A98" s="196">
        <v>4</v>
      </c>
      <c r="B98" s="193">
        <v>2</v>
      </c>
      <c r="C98" s="193"/>
      <c r="D98" s="193"/>
      <c r="E98" s="197"/>
      <c r="F98" s="198" t="s">
        <v>683</v>
      </c>
      <c r="G98" s="199">
        <f>+G99</f>
        <v>0</v>
      </c>
    </row>
    <row r="99" spans="1:7" ht="12.75">
      <c r="A99" s="196">
        <v>4</v>
      </c>
      <c r="B99" s="193">
        <v>2</v>
      </c>
      <c r="C99" s="193">
        <v>1</v>
      </c>
      <c r="D99" s="193"/>
      <c r="E99" s="197"/>
      <c r="F99" s="198" t="s">
        <v>684</v>
      </c>
      <c r="G99" s="201"/>
    </row>
    <row r="100" spans="1:7" ht="12.75">
      <c r="A100" s="196">
        <v>4</v>
      </c>
      <c r="B100" s="193">
        <v>3</v>
      </c>
      <c r="C100" s="193"/>
      <c r="D100" s="193"/>
      <c r="E100" s="197"/>
      <c r="F100" s="198" t="s">
        <v>685</v>
      </c>
      <c r="G100" s="199">
        <f>+G101</f>
        <v>0</v>
      </c>
    </row>
    <row r="101" spans="1:7" ht="12.75">
      <c r="A101" s="196">
        <v>4</v>
      </c>
      <c r="B101" s="193">
        <v>3</v>
      </c>
      <c r="C101" s="193">
        <v>1</v>
      </c>
      <c r="D101" s="193"/>
      <c r="E101" s="197"/>
      <c r="F101" s="198" t="s">
        <v>648</v>
      </c>
      <c r="G101" s="201">
        <v>0</v>
      </c>
    </row>
    <row r="102" spans="1:7" ht="12.75">
      <c r="A102" s="191">
        <v>5</v>
      </c>
      <c r="B102" s="193"/>
      <c r="C102" s="193"/>
      <c r="D102" s="193"/>
      <c r="E102" s="197"/>
      <c r="F102" s="198" t="s">
        <v>548</v>
      </c>
      <c r="G102" s="199">
        <f>+G103+G106+G107</f>
        <v>86840</v>
      </c>
    </row>
    <row r="103" spans="1:7" ht="12.75">
      <c r="A103" s="196">
        <v>5</v>
      </c>
      <c r="B103" s="193">
        <v>1</v>
      </c>
      <c r="C103" s="193"/>
      <c r="D103" s="193"/>
      <c r="E103" s="197"/>
      <c r="F103" s="198" t="s">
        <v>686</v>
      </c>
      <c r="G103" s="199">
        <f>+G104+G105</f>
        <v>86840</v>
      </c>
    </row>
    <row r="104" spans="1:7" ht="12.75">
      <c r="A104" s="196">
        <v>5</v>
      </c>
      <c r="B104" s="193">
        <v>1</v>
      </c>
      <c r="C104" s="193">
        <v>1</v>
      </c>
      <c r="D104" s="193"/>
      <c r="E104" s="197"/>
      <c r="F104" s="198" t="s">
        <v>649</v>
      </c>
      <c r="G104" s="201">
        <f>+ANEXO2!D483</f>
        <v>86840</v>
      </c>
    </row>
    <row r="105" spans="1:7" ht="12.75">
      <c r="A105" s="196">
        <v>5</v>
      </c>
      <c r="B105" s="193">
        <v>1</v>
      </c>
      <c r="C105" s="193">
        <v>2</v>
      </c>
      <c r="D105" s="193"/>
      <c r="E105" s="193"/>
      <c r="F105" s="198" t="s">
        <v>650</v>
      </c>
      <c r="G105" s="201"/>
    </row>
    <row r="106" spans="1:7" ht="12.75">
      <c r="A106" s="196">
        <v>5</v>
      </c>
      <c r="B106" s="193">
        <v>2</v>
      </c>
      <c r="C106" s="193"/>
      <c r="D106" s="193"/>
      <c r="E106" s="193"/>
      <c r="F106" s="198" t="s">
        <v>687</v>
      </c>
      <c r="G106" s="199">
        <v>0</v>
      </c>
    </row>
    <row r="107" spans="1:7" ht="12.75">
      <c r="A107" s="196">
        <v>5</v>
      </c>
      <c r="B107" s="193">
        <v>3</v>
      </c>
      <c r="C107" s="193"/>
      <c r="D107" s="193"/>
      <c r="E107" s="193"/>
      <c r="F107" s="198" t="s">
        <v>688</v>
      </c>
      <c r="G107" s="199">
        <f>+G108</f>
        <v>0</v>
      </c>
    </row>
    <row r="108" spans="1:7" ht="12.75">
      <c r="A108" s="196">
        <v>5</v>
      </c>
      <c r="B108" s="193">
        <v>3</v>
      </c>
      <c r="C108" s="193">
        <v>1</v>
      </c>
      <c r="D108" s="193"/>
      <c r="E108" s="193"/>
      <c r="F108" s="198" t="s">
        <v>651</v>
      </c>
      <c r="G108" s="201"/>
    </row>
    <row r="109" spans="1:7" ht="12.75">
      <c r="A109" s="191">
        <v>6</v>
      </c>
      <c r="B109" s="193"/>
      <c r="C109" s="193"/>
      <c r="D109" s="193"/>
      <c r="E109" s="193"/>
      <c r="F109" s="198" t="s">
        <v>553</v>
      </c>
      <c r="G109" s="199">
        <f>+G110</f>
        <v>0</v>
      </c>
    </row>
    <row r="110" spans="1:7" ht="12.75">
      <c r="A110" s="196">
        <v>6</v>
      </c>
      <c r="B110" s="193">
        <v>1</v>
      </c>
      <c r="C110" s="193"/>
      <c r="D110" s="193"/>
      <c r="E110" s="193"/>
      <c r="F110" s="198" t="s">
        <v>689</v>
      </c>
      <c r="G110" s="199">
        <f>+G111</f>
        <v>0</v>
      </c>
    </row>
    <row r="111" spans="1:7" ht="13.5" thickBot="1">
      <c r="A111" s="204">
        <v>6</v>
      </c>
      <c r="B111" s="205">
        <v>1</v>
      </c>
      <c r="C111" s="205">
        <v>1</v>
      </c>
      <c r="D111" s="205"/>
      <c r="E111" s="205"/>
      <c r="F111" s="271" t="s">
        <v>652</v>
      </c>
      <c r="G111" s="208"/>
    </row>
    <row r="112" spans="6:7" ht="13.5" thickBot="1">
      <c r="F112" s="295" t="s">
        <v>690</v>
      </c>
      <c r="G112" s="184">
        <f>+G91+G102+G109</f>
        <v>3652000</v>
      </c>
    </row>
    <row r="113" ht="12.75">
      <c r="G113" s="68" t="s">
        <v>757</v>
      </c>
    </row>
    <row r="114" spans="1:6" ht="12.75">
      <c r="A114" s="82"/>
      <c r="F114" s="57" t="s">
        <v>368</v>
      </c>
    </row>
    <row r="115" spans="1:7" ht="15">
      <c r="A115" s="777" t="str">
        <f>+A87</f>
        <v>PRESUPUESTO AÑO 2008</v>
      </c>
      <c r="B115" s="777"/>
      <c r="C115" s="777"/>
      <c r="D115" s="777"/>
      <c r="E115" s="777"/>
      <c r="F115" s="777"/>
      <c r="G115" s="777"/>
    </row>
    <row r="116" spans="1:7" ht="13.5" thickBot="1">
      <c r="A116" s="33" t="s">
        <v>89</v>
      </c>
      <c r="G116" s="14">
        <v>251</v>
      </c>
    </row>
    <row r="117" spans="1:7" ht="13.5" thickBot="1">
      <c r="A117" s="771" t="s">
        <v>621</v>
      </c>
      <c r="B117" s="772"/>
      <c r="C117" s="772"/>
      <c r="D117" s="772"/>
      <c r="E117" s="772"/>
      <c r="F117" s="293" t="s">
        <v>657</v>
      </c>
      <c r="G117" s="293" t="s">
        <v>658</v>
      </c>
    </row>
    <row r="118" spans="1:7" ht="13.5" thickBot="1">
      <c r="A118" s="242" t="s">
        <v>659</v>
      </c>
      <c r="B118" s="242" t="s">
        <v>660</v>
      </c>
      <c r="C118" s="242" t="s">
        <v>661</v>
      </c>
      <c r="D118" s="242" t="s">
        <v>625</v>
      </c>
      <c r="E118" s="292" t="s">
        <v>662</v>
      </c>
      <c r="F118" s="294" t="s">
        <v>663</v>
      </c>
      <c r="G118" s="294"/>
    </row>
    <row r="119" spans="1:7" ht="12.75">
      <c r="A119" s="187">
        <v>4</v>
      </c>
      <c r="B119" s="188"/>
      <c r="C119" s="188"/>
      <c r="D119" s="188"/>
      <c r="E119" s="209"/>
      <c r="F119" s="210" t="s">
        <v>539</v>
      </c>
      <c r="G119" s="212">
        <f>+G120+G126+G128</f>
        <v>2373410</v>
      </c>
    </row>
    <row r="120" spans="1:7" ht="12.75">
      <c r="A120" s="196">
        <v>4</v>
      </c>
      <c r="B120" s="193">
        <v>1</v>
      </c>
      <c r="C120" s="193"/>
      <c r="D120" s="193"/>
      <c r="E120" s="197"/>
      <c r="F120" s="198" t="s">
        <v>664</v>
      </c>
      <c r="G120" s="199">
        <f>+G121+G124+G125</f>
        <v>2173410</v>
      </c>
    </row>
    <row r="121" spans="1:7" ht="12.75">
      <c r="A121" s="196">
        <v>4</v>
      </c>
      <c r="B121" s="193">
        <v>1</v>
      </c>
      <c r="C121" s="193">
        <v>1</v>
      </c>
      <c r="D121" s="193"/>
      <c r="E121" s="197"/>
      <c r="F121" s="198" t="s">
        <v>644</v>
      </c>
      <c r="G121" s="199">
        <f>+G122+G123</f>
        <v>1842850</v>
      </c>
    </row>
    <row r="122" spans="1:7" ht="12.75">
      <c r="A122" s="196">
        <v>4</v>
      </c>
      <c r="B122" s="193">
        <v>1</v>
      </c>
      <c r="C122" s="193">
        <v>1</v>
      </c>
      <c r="D122" s="193">
        <v>1</v>
      </c>
      <c r="E122" s="197"/>
      <c r="F122" s="198" t="s">
        <v>665</v>
      </c>
      <c r="G122" s="199">
        <f>+ANEXO2!C$507</f>
        <v>1151230</v>
      </c>
    </row>
    <row r="123" spans="1:7" ht="12.75">
      <c r="A123" s="196">
        <v>4</v>
      </c>
      <c r="B123" s="193">
        <v>1</v>
      </c>
      <c r="C123" s="193">
        <v>1</v>
      </c>
      <c r="D123" s="193">
        <v>2</v>
      </c>
      <c r="E123" s="197"/>
      <c r="F123" s="198" t="s">
        <v>682</v>
      </c>
      <c r="G123" s="199">
        <f>+ANEXO2!C$526</f>
        <v>691620</v>
      </c>
    </row>
    <row r="124" spans="1:7" ht="12.75">
      <c r="A124" s="196">
        <v>4</v>
      </c>
      <c r="B124" s="193">
        <v>1</v>
      </c>
      <c r="C124" s="193">
        <v>2</v>
      </c>
      <c r="D124" s="193"/>
      <c r="E124" s="197"/>
      <c r="F124" s="198" t="s">
        <v>645</v>
      </c>
      <c r="G124" s="199">
        <f>+ANEXO2!C$555</f>
        <v>12630</v>
      </c>
    </row>
    <row r="125" spans="1:7" ht="12.75">
      <c r="A125" s="196">
        <v>4</v>
      </c>
      <c r="B125" s="193">
        <v>1</v>
      </c>
      <c r="C125" s="193">
        <v>3</v>
      </c>
      <c r="D125" s="193"/>
      <c r="E125" s="197"/>
      <c r="F125" s="198" t="s">
        <v>646</v>
      </c>
      <c r="G125" s="199">
        <f>+ANEXO2!C$582</f>
        <v>317930</v>
      </c>
    </row>
    <row r="126" spans="1:7" ht="12.75">
      <c r="A126" s="196">
        <v>4</v>
      </c>
      <c r="B126" s="193">
        <v>2</v>
      </c>
      <c r="C126" s="193"/>
      <c r="D126" s="193"/>
      <c r="E126" s="197"/>
      <c r="F126" s="198" t="s">
        <v>683</v>
      </c>
      <c r="G126" s="199">
        <f>+G127</f>
        <v>0</v>
      </c>
    </row>
    <row r="127" spans="1:7" ht="12.75">
      <c r="A127" s="196">
        <v>4</v>
      </c>
      <c r="B127" s="193">
        <v>2</v>
      </c>
      <c r="C127" s="193">
        <v>1</v>
      </c>
      <c r="D127" s="193"/>
      <c r="E127" s="197"/>
      <c r="F127" s="198" t="s">
        <v>684</v>
      </c>
      <c r="G127" s="201">
        <v>0</v>
      </c>
    </row>
    <row r="128" spans="1:7" ht="12.75">
      <c r="A128" s="196">
        <v>4</v>
      </c>
      <c r="B128" s="193">
        <v>3</v>
      </c>
      <c r="C128" s="193"/>
      <c r="D128" s="193"/>
      <c r="E128" s="197"/>
      <c r="F128" s="198" t="s">
        <v>685</v>
      </c>
      <c r="G128" s="199">
        <f>+G129</f>
        <v>200000</v>
      </c>
    </row>
    <row r="129" spans="1:7" ht="12.75">
      <c r="A129" s="196">
        <v>4</v>
      </c>
      <c r="B129" s="193">
        <v>3</v>
      </c>
      <c r="C129" s="193">
        <v>1</v>
      </c>
      <c r="D129" s="193"/>
      <c r="E129" s="197"/>
      <c r="F129" s="198" t="s">
        <v>648</v>
      </c>
      <c r="G129" s="201">
        <v>200000</v>
      </c>
    </row>
    <row r="130" spans="1:7" ht="12.75">
      <c r="A130" s="191">
        <v>5</v>
      </c>
      <c r="B130" s="193"/>
      <c r="C130" s="193"/>
      <c r="D130" s="193"/>
      <c r="E130" s="197"/>
      <c r="F130" s="198" t="s">
        <v>548</v>
      </c>
      <c r="G130" s="199">
        <f>+G131+G134+G135</f>
        <v>5810</v>
      </c>
    </row>
    <row r="131" spans="1:7" ht="12.75">
      <c r="A131" s="196">
        <v>5</v>
      </c>
      <c r="B131" s="193">
        <v>1</v>
      </c>
      <c r="C131" s="193"/>
      <c r="D131" s="193"/>
      <c r="E131" s="197"/>
      <c r="F131" s="198" t="s">
        <v>686</v>
      </c>
      <c r="G131" s="199">
        <f>+G132+G133</f>
        <v>5810</v>
      </c>
    </row>
    <row r="132" spans="1:7" ht="12.75">
      <c r="A132" s="196">
        <v>5</v>
      </c>
      <c r="B132" s="193">
        <v>1</v>
      </c>
      <c r="C132" s="193">
        <v>1</v>
      </c>
      <c r="D132" s="193"/>
      <c r="E132" s="197"/>
      <c r="F132" s="198" t="s">
        <v>649</v>
      </c>
      <c r="G132" s="201">
        <f>+ANEXO2!C$599</f>
        <v>5810</v>
      </c>
    </row>
    <row r="133" spans="1:7" ht="12.75">
      <c r="A133" s="196">
        <v>5</v>
      </c>
      <c r="B133" s="193">
        <v>1</v>
      </c>
      <c r="C133" s="193">
        <v>2</v>
      </c>
      <c r="D133" s="193"/>
      <c r="E133" s="193"/>
      <c r="F133" s="198" t="s">
        <v>650</v>
      </c>
      <c r="G133" s="201">
        <v>0</v>
      </c>
    </row>
    <row r="134" spans="1:7" ht="12.75">
      <c r="A134" s="196">
        <v>5</v>
      </c>
      <c r="B134" s="193">
        <v>2</v>
      </c>
      <c r="C134" s="193"/>
      <c r="D134" s="193"/>
      <c r="E134" s="193"/>
      <c r="F134" s="198" t="s">
        <v>687</v>
      </c>
      <c r="G134" s="199">
        <v>0</v>
      </c>
    </row>
    <row r="135" spans="1:7" ht="12.75">
      <c r="A135" s="196">
        <v>5</v>
      </c>
      <c r="B135" s="193">
        <v>3</v>
      </c>
      <c r="C135" s="193"/>
      <c r="D135" s="193"/>
      <c r="E135" s="193"/>
      <c r="F135" s="198" t="s">
        <v>688</v>
      </c>
      <c r="G135" s="199">
        <f>+G136</f>
        <v>0</v>
      </c>
    </row>
    <row r="136" spans="1:7" ht="12.75">
      <c r="A136" s="196">
        <v>5</v>
      </c>
      <c r="B136" s="193">
        <v>3</v>
      </c>
      <c r="C136" s="193">
        <v>1</v>
      </c>
      <c r="D136" s="193"/>
      <c r="E136" s="193"/>
      <c r="F136" s="198" t="s">
        <v>651</v>
      </c>
      <c r="G136" s="201">
        <v>0</v>
      </c>
    </row>
    <row r="137" spans="1:7" ht="12.75">
      <c r="A137" s="191">
        <v>6</v>
      </c>
      <c r="B137" s="193"/>
      <c r="C137" s="193"/>
      <c r="D137" s="193"/>
      <c r="E137" s="193"/>
      <c r="F137" s="198" t="s">
        <v>553</v>
      </c>
      <c r="G137" s="199">
        <f>+G138</f>
        <v>0</v>
      </c>
    </row>
    <row r="138" spans="1:7" ht="12.75">
      <c r="A138" s="196">
        <v>6</v>
      </c>
      <c r="B138" s="193">
        <v>1</v>
      </c>
      <c r="C138" s="193"/>
      <c r="D138" s="193"/>
      <c r="E138" s="193"/>
      <c r="F138" s="198" t="s">
        <v>689</v>
      </c>
      <c r="G138" s="199">
        <f>+G139</f>
        <v>0</v>
      </c>
    </row>
    <row r="139" spans="1:7" ht="13.5" thickBot="1">
      <c r="A139" s="204">
        <v>6</v>
      </c>
      <c r="B139" s="205">
        <v>1</v>
      </c>
      <c r="C139" s="205">
        <v>1</v>
      </c>
      <c r="D139" s="205"/>
      <c r="E139" s="205"/>
      <c r="F139" s="271" t="s">
        <v>652</v>
      </c>
      <c r="G139" s="208">
        <v>0</v>
      </c>
    </row>
    <row r="140" spans="6:7" ht="13.5" thickBot="1">
      <c r="F140" s="295" t="s">
        <v>690</v>
      </c>
      <c r="G140" s="184">
        <f>+G119+G130+G137</f>
        <v>2379220</v>
      </c>
    </row>
    <row r="141" ht="12.75">
      <c r="A141" s="48" t="s">
        <v>77</v>
      </c>
    </row>
    <row r="143" spans="1:6" ht="12.75">
      <c r="A143" s="82"/>
      <c r="F143" s="57" t="s">
        <v>368</v>
      </c>
    </row>
    <row r="144" spans="1:7" ht="15">
      <c r="A144" s="777" t="str">
        <f>+A115</f>
        <v>PRESUPUESTO AÑO 2008</v>
      </c>
      <c r="B144" s="777"/>
      <c r="C144" s="777"/>
      <c r="D144" s="777"/>
      <c r="E144" s="777"/>
      <c r="F144" s="777"/>
      <c r="G144" s="777"/>
    </row>
    <row r="145" spans="1:7" ht="13.5" thickBot="1">
      <c r="A145" s="33" t="s">
        <v>92</v>
      </c>
      <c r="G145" s="14">
        <v>261</v>
      </c>
    </row>
    <row r="146" spans="1:7" ht="13.5" thickBot="1">
      <c r="A146" s="771" t="s">
        <v>621</v>
      </c>
      <c r="B146" s="772"/>
      <c r="C146" s="772"/>
      <c r="D146" s="772"/>
      <c r="E146" s="772"/>
      <c r="F146" s="293" t="s">
        <v>657</v>
      </c>
      <c r="G146" s="293" t="s">
        <v>658</v>
      </c>
    </row>
    <row r="147" spans="1:7" ht="13.5" thickBot="1">
      <c r="A147" s="242" t="s">
        <v>659</v>
      </c>
      <c r="B147" s="242" t="s">
        <v>660</v>
      </c>
      <c r="C147" s="242" t="s">
        <v>661</v>
      </c>
      <c r="D147" s="242" t="s">
        <v>625</v>
      </c>
      <c r="E147" s="292" t="s">
        <v>662</v>
      </c>
      <c r="F147" s="294" t="s">
        <v>663</v>
      </c>
      <c r="G147" s="294"/>
    </row>
    <row r="148" spans="1:7" ht="12.75">
      <c r="A148" s="187">
        <v>4</v>
      </c>
      <c r="B148" s="188"/>
      <c r="C148" s="188"/>
      <c r="D148" s="188"/>
      <c r="E148" s="209"/>
      <c r="F148" s="210" t="s">
        <v>539</v>
      </c>
      <c r="G148" s="212">
        <f>+G149+G155+G157</f>
        <v>8828520</v>
      </c>
    </row>
    <row r="149" spans="1:7" ht="12.75">
      <c r="A149" s="196">
        <v>4</v>
      </c>
      <c r="B149" s="193">
        <v>1</v>
      </c>
      <c r="C149" s="193"/>
      <c r="D149" s="193"/>
      <c r="E149" s="197"/>
      <c r="F149" s="198" t="s">
        <v>664</v>
      </c>
      <c r="G149" s="199">
        <f>+G150+G153+G154</f>
        <v>8828520</v>
      </c>
    </row>
    <row r="150" spans="1:7" ht="12.75">
      <c r="A150" s="196">
        <v>4</v>
      </c>
      <c r="B150" s="193">
        <v>1</v>
      </c>
      <c r="C150" s="193">
        <v>1</v>
      </c>
      <c r="D150" s="193"/>
      <c r="E150" s="197"/>
      <c r="F150" s="198" t="s">
        <v>644</v>
      </c>
      <c r="G150" s="199">
        <f>+G151+G152</f>
        <v>6984610</v>
      </c>
    </row>
    <row r="151" spans="1:7" ht="12.75">
      <c r="A151" s="196">
        <v>4</v>
      </c>
      <c r="B151" s="193">
        <v>1</v>
      </c>
      <c r="C151" s="193">
        <v>1</v>
      </c>
      <c r="D151" s="193">
        <v>1</v>
      </c>
      <c r="E151" s="197"/>
      <c r="F151" s="198" t="s">
        <v>665</v>
      </c>
      <c r="G151" s="199">
        <f>+ANEXO2!D623</f>
        <v>5455230</v>
      </c>
    </row>
    <row r="152" spans="1:7" ht="12.75">
      <c r="A152" s="196">
        <v>4</v>
      </c>
      <c r="B152" s="193">
        <v>1</v>
      </c>
      <c r="C152" s="193">
        <v>1</v>
      </c>
      <c r="D152" s="193">
        <v>2</v>
      </c>
      <c r="E152" s="197"/>
      <c r="F152" s="198" t="s">
        <v>682</v>
      </c>
      <c r="G152" s="199">
        <f>+ANEXO2!D642</f>
        <v>1529380</v>
      </c>
    </row>
    <row r="153" spans="1:7" ht="12.75">
      <c r="A153" s="196">
        <v>4</v>
      </c>
      <c r="B153" s="193">
        <v>1</v>
      </c>
      <c r="C153" s="193">
        <v>2</v>
      </c>
      <c r="D153" s="193"/>
      <c r="E153" s="197"/>
      <c r="F153" s="198" t="s">
        <v>645</v>
      </c>
      <c r="G153" s="199">
        <f>+ANEXO2!N671</f>
        <v>276980</v>
      </c>
    </row>
    <row r="154" spans="1:7" ht="12.75">
      <c r="A154" s="196">
        <v>4</v>
      </c>
      <c r="B154" s="193">
        <v>1</v>
      </c>
      <c r="C154" s="193">
        <v>3</v>
      </c>
      <c r="D154" s="193"/>
      <c r="E154" s="197"/>
      <c r="F154" s="198" t="s">
        <v>646</v>
      </c>
      <c r="G154" s="199">
        <f>+ANEXO2!N698</f>
        <v>1566930</v>
      </c>
    </row>
    <row r="155" spans="1:7" ht="12.75">
      <c r="A155" s="196">
        <v>4</v>
      </c>
      <c r="B155" s="193">
        <v>2</v>
      </c>
      <c r="C155" s="193"/>
      <c r="D155" s="193"/>
      <c r="E155" s="197"/>
      <c r="F155" s="198" t="s">
        <v>683</v>
      </c>
      <c r="G155" s="199">
        <f>+G156</f>
        <v>0</v>
      </c>
    </row>
    <row r="156" spans="1:7" ht="12.75">
      <c r="A156" s="196">
        <v>4</v>
      </c>
      <c r="B156" s="193">
        <v>2</v>
      </c>
      <c r="C156" s="193">
        <v>1</v>
      </c>
      <c r="D156" s="193"/>
      <c r="E156" s="197"/>
      <c r="F156" s="198" t="s">
        <v>684</v>
      </c>
      <c r="G156" s="201"/>
    </row>
    <row r="157" spans="1:7" ht="12.75">
      <c r="A157" s="196">
        <v>4</v>
      </c>
      <c r="B157" s="193">
        <v>3</v>
      </c>
      <c r="C157" s="193"/>
      <c r="D157" s="193"/>
      <c r="E157" s="197"/>
      <c r="F157" s="198" t="s">
        <v>685</v>
      </c>
      <c r="G157" s="199">
        <f>+G158</f>
        <v>0</v>
      </c>
    </row>
    <row r="158" spans="1:7" ht="12.75">
      <c r="A158" s="196">
        <v>4</v>
      </c>
      <c r="B158" s="193">
        <v>3</v>
      </c>
      <c r="C158" s="193">
        <v>1</v>
      </c>
      <c r="D158" s="193"/>
      <c r="E158" s="197"/>
      <c r="F158" s="198" t="s">
        <v>648</v>
      </c>
      <c r="G158" s="201"/>
    </row>
    <row r="159" spans="1:7" ht="12.75">
      <c r="A159" s="191">
        <v>5</v>
      </c>
      <c r="B159" s="193"/>
      <c r="C159" s="193"/>
      <c r="D159" s="193"/>
      <c r="E159" s="197"/>
      <c r="F159" s="198" t="s">
        <v>548</v>
      </c>
      <c r="G159" s="199">
        <f>+G160+G163+G164</f>
        <v>294760</v>
      </c>
    </row>
    <row r="160" spans="1:7" ht="12.75">
      <c r="A160" s="196">
        <v>5</v>
      </c>
      <c r="B160" s="193">
        <v>1</v>
      </c>
      <c r="C160" s="193"/>
      <c r="D160" s="193"/>
      <c r="E160" s="197"/>
      <c r="F160" s="198" t="s">
        <v>686</v>
      </c>
      <c r="G160" s="199">
        <f>+G161+G162</f>
        <v>294760</v>
      </c>
    </row>
    <row r="161" spans="1:7" ht="12.75">
      <c r="A161" s="196">
        <v>5</v>
      </c>
      <c r="B161" s="193">
        <v>1</v>
      </c>
      <c r="C161" s="193">
        <v>1</v>
      </c>
      <c r="D161" s="193"/>
      <c r="E161" s="197"/>
      <c r="F161" s="198" t="s">
        <v>649</v>
      </c>
      <c r="G161" s="201">
        <f>+ANEXO2!N719</f>
        <v>294760</v>
      </c>
    </row>
    <row r="162" spans="1:7" ht="12.75">
      <c r="A162" s="196">
        <v>5</v>
      </c>
      <c r="B162" s="193">
        <v>1</v>
      </c>
      <c r="C162" s="193">
        <v>2</v>
      </c>
      <c r="D162" s="193"/>
      <c r="E162" s="193"/>
      <c r="F162" s="198" t="s">
        <v>650</v>
      </c>
      <c r="G162" s="201"/>
    </row>
    <row r="163" spans="1:7" ht="12.75">
      <c r="A163" s="196">
        <v>5</v>
      </c>
      <c r="B163" s="193">
        <v>2</v>
      </c>
      <c r="C163" s="193"/>
      <c r="D163" s="193"/>
      <c r="E163" s="193"/>
      <c r="F163" s="198" t="s">
        <v>687</v>
      </c>
      <c r="G163" s="199">
        <v>0</v>
      </c>
    </row>
    <row r="164" spans="1:7" ht="12.75">
      <c r="A164" s="196">
        <v>5</v>
      </c>
      <c r="B164" s="193">
        <v>3</v>
      </c>
      <c r="C164" s="193"/>
      <c r="D164" s="193"/>
      <c r="E164" s="193"/>
      <c r="F164" s="198" t="s">
        <v>688</v>
      </c>
      <c r="G164" s="199">
        <f>+G165</f>
        <v>0</v>
      </c>
    </row>
    <row r="165" spans="1:7" ht="12.75">
      <c r="A165" s="196">
        <v>5</v>
      </c>
      <c r="B165" s="193">
        <v>3</v>
      </c>
      <c r="C165" s="193">
        <v>1</v>
      </c>
      <c r="D165" s="193"/>
      <c r="E165" s="193"/>
      <c r="F165" s="198" t="s">
        <v>651</v>
      </c>
      <c r="G165" s="201"/>
    </row>
    <row r="166" spans="1:7" ht="12.75">
      <c r="A166" s="191">
        <v>6</v>
      </c>
      <c r="B166" s="193"/>
      <c r="C166" s="193"/>
      <c r="D166" s="193"/>
      <c r="E166" s="193"/>
      <c r="F166" s="198" t="s">
        <v>553</v>
      </c>
      <c r="G166" s="199">
        <f>+G167</f>
        <v>0</v>
      </c>
    </row>
    <row r="167" spans="1:7" ht="12.75">
      <c r="A167" s="196">
        <v>6</v>
      </c>
      <c r="B167" s="193">
        <v>1</v>
      </c>
      <c r="C167" s="193"/>
      <c r="D167" s="193"/>
      <c r="E167" s="193"/>
      <c r="F167" s="198" t="s">
        <v>689</v>
      </c>
      <c r="G167" s="199">
        <f>+G168</f>
        <v>0</v>
      </c>
    </row>
    <row r="168" spans="1:7" ht="13.5" thickBot="1">
      <c r="A168" s="204">
        <v>6</v>
      </c>
      <c r="B168" s="205">
        <v>1</v>
      </c>
      <c r="C168" s="205">
        <v>1</v>
      </c>
      <c r="D168" s="205"/>
      <c r="E168" s="205"/>
      <c r="F168" s="271" t="s">
        <v>652</v>
      </c>
      <c r="G168" s="208"/>
    </row>
    <row r="169" spans="6:7" ht="13.5" thickBot="1">
      <c r="F169" s="295" t="s">
        <v>690</v>
      </c>
      <c r="G169" s="184">
        <f>+G148+G159+G166</f>
        <v>9123280</v>
      </c>
    </row>
    <row r="170" ht="12.75">
      <c r="A170" s="48" t="s">
        <v>882</v>
      </c>
    </row>
    <row r="171" spans="1:7" ht="12.75">
      <c r="A171" s="81"/>
      <c r="B171" s="84"/>
      <c r="C171" s="84"/>
      <c r="D171" s="84"/>
      <c r="E171" s="84"/>
      <c r="F171" s="656" t="s">
        <v>368</v>
      </c>
      <c r="G171" s="86"/>
    </row>
    <row r="172" spans="1:7" ht="15">
      <c r="A172" s="775" t="str">
        <f>+'obras juris'!A284</f>
        <v>PRESUPUESTO AÑO 2008</v>
      </c>
      <c r="B172" s="776"/>
      <c r="C172" s="776"/>
      <c r="D172" s="776"/>
      <c r="E172" s="776"/>
      <c r="F172" s="776"/>
      <c r="G172" s="776"/>
    </row>
    <row r="173" spans="1:7" ht="13.5" thickBot="1">
      <c r="A173" s="33" t="s">
        <v>418</v>
      </c>
      <c r="G173" s="14" t="s">
        <v>154</v>
      </c>
    </row>
    <row r="174" spans="1:7" ht="13.5" thickBot="1">
      <c r="A174" s="771" t="s">
        <v>621</v>
      </c>
      <c r="B174" s="772"/>
      <c r="C174" s="772"/>
      <c r="D174" s="772"/>
      <c r="E174" s="772"/>
      <c r="F174" s="293" t="s">
        <v>657</v>
      </c>
      <c r="G174" s="293" t="s">
        <v>658</v>
      </c>
    </row>
    <row r="175" spans="1:7" ht="13.5" thickBot="1">
      <c r="A175" s="242" t="s">
        <v>659</v>
      </c>
      <c r="B175" s="242" t="s">
        <v>660</v>
      </c>
      <c r="C175" s="242" t="s">
        <v>661</v>
      </c>
      <c r="D175" s="242" t="s">
        <v>625</v>
      </c>
      <c r="E175" s="292" t="s">
        <v>662</v>
      </c>
      <c r="F175" s="294" t="s">
        <v>663</v>
      </c>
      <c r="G175" s="294"/>
    </row>
    <row r="176" spans="1:7" ht="12.75">
      <c r="A176" s="187">
        <v>4</v>
      </c>
      <c r="B176" s="188"/>
      <c r="C176" s="188"/>
      <c r="D176" s="188"/>
      <c r="E176" s="209"/>
      <c r="F176" s="210" t="s">
        <v>539</v>
      </c>
      <c r="G176" s="212">
        <f>+G177+G183+G185</f>
        <v>2479940</v>
      </c>
    </row>
    <row r="177" spans="1:7" ht="12.75">
      <c r="A177" s="196">
        <v>4</v>
      </c>
      <c r="B177" s="193">
        <v>1</v>
      </c>
      <c r="C177" s="193"/>
      <c r="D177" s="193"/>
      <c r="E177" s="197"/>
      <c r="F177" s="198" t="s">
        <v>664</v>
      </c>
      <c r="G177" s="199">
        <f>+G178+G181+G182</f>
        <v>1250670</v>
      </c>
    </row>
    <row r="178" spans="1:7" ht="12.75">
      <c r="A178" s="196">
        <v>4</v>
      </c>
      <c r="B178" s="193">
        <v>1</v>
      </c>
      <c r="C178" s="193">
        <v>1</v>
      </c>
      <c r="D178" s="193"/>
      <c r="E178" s="197"/>
      <c r="F178" s="198" t="s">
        <v>644</v>
      </c>
      <c r="G178" s="199">
        <f>+G179+G180</f>
        <v>571030</v>
      </c>
    </row>
    <row r="179" spans="1:7" ht="12.75">
      <c r="A179" s="196">
        <v>4</v>
      </c>
      <c r="B179" s="193">
        <v>1</v>
      </c>
      <c r="C179" s="193">
        <v>1</v>
      </c>
      <c r="D179" s="193">
        <v>1</v>
      </c>
      <c r="E179" s="197"/>
      <c r="F179" s="198" t="s">
        <v>665</v>
      </c>
      <c r="G179" s="199">
        <f>+ANEXO2!D743</f>
        <v>571030</v>
      </c>
    </row>
    <row r="180" spans="1:7" ht="12.75">
      <c r="A180" s="196">
        <v>4</v>
      </c>
      <c r="B180" s="193">
        <v>1</v>
      </c>
      <c r="C180" s="193">
        <v>1</v>
      </c>
      <c r="D180" s="193">
        <v>2</v>
      </c>
      <c r="E180" s="197"/>
      <c r="F180" s="198" t="s">
        <v>682</v>
      </c>
      <c r="G180" s="199">
        <v>0</v>
      </c>
    </row>
    <row r="181" spans="1:7" ht="12.75">
      <c r="A181" s="196">
        <v>4</v>
      </c>
      <c r="B181" s="193">
        <v>1</v>
      </c>
      <c r="C181" s="193">
        <v>2</v>
      </c>
      <c r="D181" s="193"/>
      <c r="E181" s="197"/>
      <c r="F181" s="198" t="s">
        <v>645</v>
      </c>
      <c r="G181" s="199">
        <f>+ANEXO2!D772</f>
        <v>33280</v>
      </c>
    </row>
    <row r="182" spans="1:7" ht="12.75">
      <c r="A182" s="196">
        <v>4</v>
      </c>
      <c r="B182" s="193">
        <v>1</v>
      </c>
      <c r="C182" s="193">
        <v>3</v>
      </c>
      <c r="D182" s="193"/>
      <c r="E182" s="197"/>
      <c r="F182" s="198" t="s">
        <v>646</v>
      </c>
      <c r="G182" s="199">
        <f>+ANEXO2!D799</f>
        <v>646360</v>
      </c>
    </row>
    <row r="183" spans="1:7" ht="12.75">
      <c r="A183" s="196">
        <v>4</v>
      </c>
      <c r="B183" s="193">
        <v>2</v>
      </c>
      <c r="C183" s="193"/>
      <c r="D183" s="193"/>
      <c r="E183" s="197"/>
      <c r="F183" s="198" t="s">
        <v>683</v>
      </c>
      <c r="G183" s="199">
        <f>+G184</f>
        <v>0</v>
      </c>
    </row>
    <row r="184" spans="1:7" ht="12.75">
      <c r="A184" s="196">
        <v>4</v>
      </c>
      <c r="B184" s="193">
        <v>2</v>
      </c>
      <c r="C184" s="193">
        <v>1</v>
      </c>
      <c r="D184" s="193"/>
      <c r="E184" s="197"/>
      <c r="F184" s="198" t="s">
        <v>684</v>
      </c>
      <c r="G184" s="201"/>
    </row>
    <row r="185" spans="1:7" ht="12.75">
      <c r="A185" s="196">
        <v>4</v>
      </c>
      <c r="B185" s="193">
        <v>3</v>
      </c>
      <c r="C185" s="193"/>
      <c r="D185" s="193"/>
      <c r="E185" s="197"/>
      <c r="F185" s="198" t="s">
        <v>685</v>
      </c>
      <c r="G185" s="199">
        <f>+G186</f>
        <v>1229270</v>
      </c>
    </row>
    <row r="186" spans="1:7" ht="12.75">
      <c r="A186" s="196">
        <v>4</v>
      </c>
      <c r="B186" s="193">
        <v>3</v>
      </c>
      <c r="C186" s="193">
        <v>1</v>
      </c>
      <c r="D186" s="193"/>
      <c r="E186" s="197"/>
      <c r="F186" s="198" t="s">
        <v>648</v>
      </c>
      <c r="G186" s="201">
        <v>1229270</v>
      </c>
    </row>
    <row r="187" spans="1:7" ht="12.75">
      <c r="A187" s="191">
        <v>5</v>
      </c>
      <c r="B187" s="193"/>
      <c r="C187" s="193"/>
      <c r="D187" s="193"/>
      <c r="E187" s="197"/>
      <c r="F187" s="198" t="s">
        <v>548</v>
      </c>
      <c r="G187" s="199">
        <f>+G188+G191+G192</f>
        <v>78220</v>
      </c>
    </row>
    <row r="188" spans="1:7" ht="12.75">
      <c r="A188" s="196">
        <v>5</v>
      </c>
      <c r="B188" s="193">
        <v>1</v>
      </c>
      <c r="C188" s="193"/>
      <c r="D188" s="193"/>
      <c r="E188" s="197"/>
      <c r="F188" s="198" t="s">
        <v>686</v>
      </c>
      <c r="G188" s="199">
        <f>+G189+G190</f>
        <v>78220</v>
      </c>
    </row>
    <row r="189" spans="1:7" ht="12.75">
      <c r="A189" s="196">
        <v>5</v>
      </c>
      <c r="B189" s="193">
        <v>1</v>
      </c>
      <c r="C189" s="193">
        <v>1</v>
      </c>
      <c r="D189" s="193"/>
      <c r="E189" s="197"/>
      <c r="F189" s="198" t="s">
        <v>649</v>
      </c>
      <c r="G189" s="201">
        <f>+ANEXO2!D815</f>
        <v>78220</v>
      </c>
    </row>
    <row r="190" spans="1:7" ht="12.75">
      <c r="A190" s="196">
        <v>5</v>
      </c>
      <c r="B190" s="193">
        <v>1</v>
      </c>
      <c r="C190" s="193">
        <v>2</v>
      </c>
      <c r="D190" s="193"/>
      <c r="E190" s="193"/>
      <c r="F190" s="198" t="s">
        <v>650</v>
      </c>
      <c r="G190" s="201"/>
    </row>
    <row r="191" spans="1:7" ht="12.75">
      <c r="A191" s="196">
        <v>5</v>
      </c>
      <c r="B191" s="193">
        <v>2</v>
      </c>
      <c r="C191" s="193"/>
      <c r="D191" s="193"/>
      <c r="E191" s="193"/>
      <c r="F191" s="198" t="s">
        <v>687</v>
      </c>
      <c r="G191" s="199">
        <v>0</v>
      </c>
    </row>
    <row r="192" spans="1:7" ht="12.75">
      <c r="A192" s="196">
        <v>5</v>
      </c>
      <c r="B192" s="193">
        <v>3</v>
      </c>
      <c r="C192" s="193"/>
      <c r="D192" s="193"/>
      <c r="E192" s="193"/>
      <c r="F192" s="198" t="s">
        <v>688</v>
      </c>
      <c r="G192" s="199">
        <f>+G193</f>
        <v>0</v>
      </c>
    </row>
    <row r="193" spans="1:7" ht="12.75">
      <c r="A193" s="196">
        <v>5</v>
      </c>
      <c r="B193" s="193">
        <v>3</v>
      </c>
      <c r="C193" s="193">
        <v>1</v>
      </c>
      <c r="D193" s="193"/>
      <c r="E193" s="193"/>
      <c r="F193" s="198" t="s">
        <v>651</v>
      </c>
      <c r="G193" s="201"/>
    </row>
    <row r="194" spans="1:7" ht="12.75">
      <c r="A194" s="191">
        <v>6</v>
      </c>
      <c r="B194" s="193"/>
      <c r="C194" s="193"/>
      <c r="D194" s="193"/>
      <c r="E194" s="193"/>
      <c r="F194" s="198" t="s">
        <v>553</v>
      </c>
      <c r="G194" s="199">
        <f>+G195</f>
        <v>0</v>
      </c>
    </row>
    <row r="195" spans="1:7" ht="12.75">
      <c r="A195" s="196">
        <v>6</v>
      </c>
      <c r="B195" s="193">
        <v>1</v>
      </c>
      <c r="C195" s="193"/>
      <c r="D195" s="193"/>
      <c r="E195" s="193"/>
      <c r="F195" s="198" t="s">
        <v>689</v>
      </c>
      <c r="G195" s="199">
        <f>+G196</f>
        <v>0</v>
      </c>
    </row>
    <row r="196" spans="1:7" ht="13.5" thickBot="1">
      <c r="A196" s="204">
        <v>6</v>
      </c>
      <c r="B196" s="205">
        <v>1</v>
      </c>
      <c r="C196" s="205">
        <v>1</v>
      </c>
      <c r="D196" s="205"/>
      <c r="E196" s="205"/>
      <c r="F196" s="271" t="s">
        <v>652</v>
      </c>
      <c r="G196" s="208"/>
    </row>
    <row r="197" spans="6:7" ht="13.5" thickBot="1">
      <c r="F197" s="295" t="s">
        <v>690</v>
      </c>
      <c r="G197" s="184">
        <f>+G176+G187+G194</f>
        <v>2558160</v>
      </c>
    </row>
    <row r="198" ht="12.75">
      <c r="A198" s="48" t="s">
        <v>881</v>
      </c>
    </row>
    <row r="200" spans="1:7" ht="12.75">
      <c r="A200" s="67"/>
      <c r="F200" s="57" t="s">
        <v>368</v>
      </c>
      <c r="G200" s="48"/>
    </row>
    <row r="201" spans="1:7" ht="15">
      <c r="A201" s="777" t="str">
        <f>+A144</f>
        <v>PRESUPUESTO AÑO 2008</v>
      </c>
      <c r="B201" s="777"/>
      <c r="C201" s="777"/>
      <c r="D201" s="777"/>
      <c r="E201" s="777"/>
      <c r="F201" s="777"/>
      <c r="G201" s="777"/>
    </row>
    <row r="202" spans="1:7" ht="13.5" thickBot="1">
      <c r="A202" s="57" t="s">
        <v>73</v>
      </c>
      <c r="G202" s="14" t="s">
        <v>79</v>
      </c>
    </row>
    <row r="203" spans="1:7" ht="13.5" thickBot="1">
      <c r="A203" s="771" t="s">
        <v>621</v>
      </c>
      <c r="B203" s="772"/>
      <c r="C203" s="772"/>
      <c r="D203" s="772"/>
      <c r="E203" s="772"/>
      <c r="F203" s="293" t="s">
        <v>657</v>
      </c>
      <c r="G203" s="293" t="s">
        <v>658</v>
      </c>
    </row>
    <row r="204" spans="1:7" ht="13.5" thickBot="1">
      <c r="A204" s="242" t="s">
        <v>659</v>
      </c>
      <c r="B204" s="242" t="s">
        <v>660</v>
      </c>
      <c r="C204" s="242" t="s">
        <v>661</v>
      </c>
      <c r="D204" s="242" t="s">
        <v>625</v>
      </c>
      <c r="E204" s="292" t="s">
        <v>662</v>
      </c>
      <c r="F204" s="294" t="s">
        <v>663</v>
      </c>
      <c r="G204" s="294"/>
    </row>
    <row r="205" spans="1:7" ht="12.75">
      <c r="A205" s="187">
        <v>4</v>
      </c>
      <c r="B205" s="188"/>
      <c r="C205" s="188"/>
      <c r="D205" s="188"/>
      <c r="E205" s="209"/>
      <c r="F205" s="210" t="s">
        <v>539</v>
      </c>
      <c r="G205" s="212">
        <f>+G206+G212+G214</f>
        <v>2372234.653</v>
      </c>
    </row>
    <row r="206" spans="1:7" ht="12.75">
      <c r="A206" s="196">
        <v>4</v>
      </c>
      <c r="B206" s="193">
        <v>1</v>
      </c>
      <c r="C206" s="193"/>
      <c r="D206" s="193"/>
      <c r="E206" s="197"/>
      <c r="F206" s="198" t="s">
        <v>664</v>
      </c>
      <c r="G206" s="199">
        <f>+G207+G210+G211</f>
        <v>2345634.653</v>
      </c>
    </row>
    <row r="207" spans="1:7" ht="12.75">
      <c r="A207" s="196">
        <v>4</v>
      </c>
      <c r="B207" s="193">
        <v>1</v>
      </c>
      <c r="C207" s="193">
        <v>1</v>
      </c>
      <c r="D207" s="193"/>
      <c r="E207" s="197"/>
      <c r="F207" s="198" t="s">
        <v>644</v>
      </c>
      <c r="G207" s="199">
        <f>+G208+G209</f>
        <v>2001614.653</v>
      </c>
    </row>
    <row r="208" spans="1:7" ht="12.75">
      <c r="A208" s="196">
        <v>4</v>
      </c>
      <c r="B208" s="193">
        <v>1</v>
      </c>
      <c r="C208" s="193">
        <v>1</v>
      </c>
      <c r="D208" s="193">
        <v>1</v>
      </c>
      <c r="E208" s="197"/>
      <c r="F208" s="198" t="s">
        <v>665</v>
      </c>
      <c r="G208" s="199">
        <f>+ANEXO2!D839</f>
        <v>1693254.653</v>
      </c>
    </row>
    <row r="209" spans="1:7" ht="12.75">
      <c r="A209" s="196">
        <v>4</v>
      </c>
      <c r="B209" s="193">
        <v>1</v>
      </c>
      <c r="C209" s="193">
        <v>1</v>
      </c>
      <c r="D209" s="193">
        <v>2</v>
      </c>
      <c r="E209" s="197"/>
      <c r="F209" s="198" t="s">
        <v>682</v>
      </c>
      <c r="G209" s="199">
        <f>+ANEXO2!D858</f>
        <v>308360</v>
      </c>
    </row>
    <row r="210" spans="1:7" ht="12.75">
      <c r="A210" s="196">
        <v>4</v>
      </c>
      <c r="B210" s="193">
        <v>1</v>
      </c>
      <c r="C210" s="193">
        <v>2</v>
      </c>
      <c r="D210" s="193"/>
      <c r="E210" s="197"/>
      <c r="F210" s="198" t="s">
        <v>645</v>
      </c>
      <c r="G210" s="199">
        <f>+ANEXO2!D887</f>
        <v>60650</v>
      </c>
    </row>
    <row r="211" spans="1:7" ht="12.75">
      <c r="A211" s="196">
        <v>4</v>
      </c>
      <c r="B211" s="193">
        <v>1</v>
      </c>
      <c r="C211" s="193">
        <v>3</v>
      </c>
      <c r="D211" s="193"/>
      <c r="E211" s="197"/>
      <c r="F211" s="198" t="s">
        <v>646</v>
      </c>
      <c r="G211" s="199">
        <f>+ANEXO2!D914</f>
        <v>283370</v>
      </c>
    </row>
    <row r="212" spans="1:7" ht="12.75">
      <c r="A212" s="196">
        <v>4</v>
      </c>
      <c r="B212" s="193">
        <v>2</v>
      </c>
      <c r="C212" s="193"/>
      <c r="D212" s="193"/>
      <c r="E212" s="197"/>
      <c r="F212" s="198" t="s">
        <v>683</v>
      </c>
      <c r="G212" s="199">
        <f>+G213</f>
        <v>0</v>
      </c>
    </row>
    <row r="213" spans="1:7" ht="12.75">
      <c r="A213" s="196">
        <v>4</v>
      </c>
      <c r="B213" s="193">
        <v>2</v>
      </c>
      <c r="C213" s="193">
        <v>1</v>
      </c>
      <c r="D213" s="193"/>
      <c r="E213" s="197"/>
      <c r="F213" s="198" t="s">
        <v>684</v>
      </c>
      <c r="G213" s="201">
        <v>0</v>
      </c>
    </row>
    <row r="214" spans="1:7" ht="12.75">
      <c r="A214" s="196">
        <v>4</v>
      </c>
      <c r="B214" s="193">
        <v>3</v>
      </c>
      <c r="C214" s="193"/>
      <c r="D214" s="193"/>
      <c r="E214" s="197"/>
      <c r="F214" s="198" t="s">
        <v>685</v>
      </c>
      <c r="G214" s="199">
        <f>+G215</f>
        <v>26600</v>
      </c>
    </row>
    <row r="215" spans="1:7" ht="12.75">
      <c r="A215" s="196">
        <v>4</v>
      </c>
      <c r="B215" s="193">
        <v>3</v>
      </c>
      <c r="C215" s="193">
        <v>1</v>
      </c>
      <c r="D215" s="193"/>
      <c r="E215" s="197"/>
      <c r="F215" s="198" t="s">
        <v>648</v>
      </c>
      <c r="G215" s="201">
        <v>26600</v>
      </c>
    </row>
    <row r="216" spans="1:7" ht="12.75">
      <c r="A216" s="191">
        <v>5</v>
      </c>
      <c r="B216" s="193"/>
      <c r="C216" s="193"/>
      <c r="D216" s="193"/>
      <c r="E216" s="197"/>
      <c r="F216" s="198" t="s">
        <v>548</v>
      </c>
      <c r="G216" s="199">
        <f>+G217+G220+G221</f>
        <v>22350</v>
      </c>
    </row>
    <row r="217" spans="1:7" ht="12.75">
      <c r="A217" s="196">
        <v>5</v>
      </c>
      <c r="B217" s="193">
        <v>1</v>
      </c>
      <c r="C217" s="193"/>
      <c r="D217" s="193"/>
      <c r="E217" s="197"/>
      <c r="F217" s="198" t="s">
        <v>686</v>
      </c>
      <c r="G217" s="199">
        <f>+G218+G219</f>
        <v>22350</v>
      </c>
    </row>
    <row r="218" spans="1:7" ht="12.75">
      <c r="A218" s="196">
        <v>5</v>
      </c>
      <c r="B218" s="193">
        <v>1</v>
      </c>
      <c r="C218" s="193">
        <v>1</v>
      </c>
      <c r="D218" s="193"/>
      <c r="E218" s="197"/>
      <c r="F218" s="198" t="s">
        <v>649</v>
      </c>
      <c r="G218" s="201">
        <f>+ANEXO2!D930</f>
        <v>22350</v>
      </c>
    </row>
    <row r="219" spans="1:7" ht="12.75">
      <c r="A219" s="196">
        <v>5</v>
      </c>
      <c r="B219" s="193">
        <v>1</v>
      </c>
      <c r="C219" s="193">
        <v>2</v>
      </c>
      <c r="D219" s="193"/>
      <c r="E219" s="193"/>
      <c r="F219" s="198" t="s">
        <v>650</v>
      </c>
      <c r="G219" s="201">
        <v>0</v>
      </c>
    </row>
    <row r="220" spans="1:7" ht="12.75">
      <c r="A220" s="196">
        <v>5</v>
      </c>
      <c r="B220" s="193">
        <v>2</v>
      </c>
      <c r="C220" s="193"/>
      <c r="D220" s="193"/>
      <c r="E220" s="193"/>
      <c r="F220" s="198" t="s">
        <v>687</v>
      </c>
      <c r="G220" s="199">
        <v>0</v>
      </c>
    </row>
    <row r="221" spans="1:7" ht="12.75">
      <c r="A221" s="196">
        <v>5</v>
      </c>
      <c r="B221" s="193">
        <v>3</v>
      </c>
      <c r="C221" s="193"/>
      <c r="D221" s="193"/>
      <c r="E221" s="193"/>
      <c r="F221" s="198" t="s">
        <v>688</v>
      </c>
      <c r="G221" s="199">
        <f>+G222</f>
        <v>0</v>
      </c>
    </row>
    <row r="222" spans="1:7" ht="12.75">
      <c r="A222" s="196">
        <v>5</v>
      </c>
      <c r="B222" s="193">
        <v>3</v>
      </c>
      <c r="C222" s="193">
        <v>1</v>
      </c>
      <c r="D222" s="193"/>
      <c r="E222" s="193"/>
      <c r="F222" s="198" t="s">
        <v>651</v>
      </c>
      <c r="G222" s="201">
        <v>0</v>
      </c>
    </row>
    <row r="223" spans="1:7" ht="12.75">
      <c r="A223" s="191">
        <v>6</v>
      </c>
      <c r="B223" s="193"/>
      <c r="C223" s="193"/>
      <c r="D223" s="193"/>
      <c r="E223" s="193"/>
      <c r="F223" s="198" t="s">
        <v>553</v>
      </c>
      <c r="G223" s="199">
        <f>+G224</f>
        <v>0</v>
      </c>
    </row>
    <row r="224" spans="1:7" ht="12.75">
      <c r="A224" s="196">
        <v>6</v>
      </c>
      <c r="B224" s="193">
        <v>1</v>
      </c>
      <c r="C224" s="193"/>
      <c r="D224" s="193"/>
      <c r="E224" s="193"/>
      <c r="F224" s="198" t="s">
        <v>689</v>
      </c>
      <c r="G224" s="199">
        <f>+G225</f>
        <v>0</v>
      </c>
    </row>
    <row r="225" spans="1:7" ht="13.5" thickBot="1">
      <c r="A225" s="204">
        <v>6</v>
      </c>
      <c r="B225" s="205">
        <v>1</v>
      </c>
      <c r="C225" s="205">
        <v>1</v>
      </c>
      <c r="D225" s="205"/>
      <c r="E225" s="205"/>
      <c r="F225" s="271" t="s">
        <v>652</v>
      </c>
      <c r="G225" s="208">
        <v>0</v>
      </c>
    </row>
    <row r="226" spans="6:7" ht="13.5" thickBot="1">
      <c r="F226" s="295" t="s">
        <v>690</v>
      </c>
      <c r="G226" s="184">
        <f>+G205+G216+G223</f>
        <v>2394584.653</v>
      </c>
    </row>
    <row r="228" spans="1:7" ht="12.75">
      <c r="A228" s="82"/>
      <c r="F228" s="57" t="s">
        <v>368</v>
      </c>
      <c r="G228" s="48"/>
    </row>
    <row r="229" spans="1:7" ht="15">
      <c r="A229" s="777" t="str">
        <f>+A2</f>
        <v>PRESUPUESTO AÑO 2008</v>
      </c>
      <c r="B229" s="777"/>
      <c r="C229" s="777"/>
      <c r="D229" s="777"/>
      <c r="E229" s="777"/>
      <c r="F229" s="777"/>
      <c r="G229" s="777"/>
    </row>
    <row r="230" spans="1:7" ht="13.5" thickBot="1">
      <c r="A230" s="33" t="s">
        <v>86</v>
      </c>
      <c r="G230" s="14" t="s">
        <v>94</v>
      </c>
    </row>
    <row r="231" spans="1:7" ht="13.5" thickBot="1">
      <c r="A231" s="771" t="s">
        <v>621</v>
      </c>
      <c r="B231" s="772"/>
      <c r="C231" s="772"/>
      <c r="D231" s="772"/>
      <c r="E231" s="772"/>
      <c r="F231" s="293" t="s">
        <v>657</v>
      </c>
      <c r="G231" s="293" t="s">
        <v>658</v>
      </c>
    </row>
    <row r="232" spans="1:7" ht="13.5" thickBot="1">
      <c r="A232" s="242" t="s">
        <v>659</v>
      </c>
      <c r="B232" s="242" t="s">
        <v>660</v>
      </c>
      <c r="C232" s="242" t="s">
        <v>661</v>
      </c>
      <c r="D232" s="242" t="s">
        <v>625</v>
      </c>
      <c r="E232" s="292" t="s">
        <v>662</v>
      </c>
      <c r="F232" s="294" t="s">
        <v>663</v>
      </c>
      <c r="G232" s="294"/>
    </row>
    <row r="233" spans="1:7" ht="12.75">
      <c r="A233" s="187">
        <v>4</v>
      </c>
      <c r="B233" s="188"/>
      <c r="C233" s="188"/>
      <c r="D233" s="188"/>
      <c r="E233" s="209"/>
      <c r="F233" s="210" t="s">
        <v>539</v>
      </c>
      <c r="G233" s="212">
        <f>+G234+G240+G242</f>
        <v>470430</v>
      </c>
    </row>
    <row r="234" spans="1:7" ht="12.75">
      <c r="A234" s="196">
        <v>4</v>
      </c>
      <c r="B234" s="193">
        <v>1</v>
      </c>
      <c r="C234" s="193"/>
      <c r="D234" s="193"/>
      <c r="E234" s="197"/>
      <c r="F234" s="198" t="s">
        <v>664</v>
      </c>
      <c r="G234" s="199">
        <f>+G235+G238+G239</f>
        <v>470430</v>
      </c>
    </row>
    <row r="235" spans="1:7" ht="12.75">
      <c r="A235" s="196">
        <v>4</v>
      </c>
      <c r="B235" s="193">
        <v>1</v>
      </c>
      <c r="C235" s="193">
        <v>1</v>
      </c>
      <c r="D235" s="193"/>
      <c r="E235" s="197"/>
      <c r="F235" s="198" t="s">
        <v>644</v>
      </c>
      <c r="G235" s="199">
        <f>+G236+G237</f>
        <v>275790</v>
      </c>
    </row>
    <row r="236" spans="1:7" ht="12.75">
      <c r="A236" s="196">
        <v>4</v>
      </c>
      <c r="B236" s="193">
        <v>1</v>
      </c>
      <c r="C236" s="193">
        <v>1</v>
      </c>
      <c r="D236" s="193">
        <v>1</v>
      </c>
      <c r="E236" s="197"/>
      <c r="F236" s="198" t="s">
        <v>665</v>
      </c>
      <c r="G236" s="199">
        <f>+ANEXO2!D955</f>
        <v>275790</v>
      </c>
    </row>
    <row r="237" spans="1:7" ht="12.75">
      <c r="A237" s="196">
        <v>4</v>
      </c>
      <c r="B237" s="193">
        <v>1</v>
      </c>
      <c r="C237" s="193">
        <v>1</v>
      </c>
      <c r="D237" s="193">
        <v>2</v>
      </c>
      <c r="E237" s="197"/>
      <c r="F237" s="198" t="s">
        <v>682</v>
      </c>
      <c r="G237" s="199">
        <v>0</v>
      </c>
    </row>
    <row r="238" spans="1:7" ht="12.75">
      <c r="A238" s="196">
        <v>4</v>
      </c>
      <c r="B238" s="193">
        <v>1</v>
      </c>
      <c r="C238" s="193">
        <v>2</v>
      </c>
      <c r="D238" s="193"/>
      <c r="E238" s="197"/>
      <c r="F238" s="198" t="s">
        <v>645</v>
      </c>
      <c r="G238" s="199">
        <f>+ANEXO2!D984</f>
        <v>14930</v>
      </c>
    </row>
    <row r="239" spans="1:7" ht="12.75">
      <c r="A239" s="196">
        <v>4</v>
      </c>
      <c r="B239" s="193">
        <v>1</v>
      </c>
      <c r="C239" s="193">
        <v>3</v>
      </c>
      <c r="D239" s="193"/>
      <c r="E239" s="197"/>
      <c r="F239" s="198" t="s">
        <v>646</v>
      </c>
      <c r="G239" s="199">
        <f>+ANEXO2!D1011</f>
        <v>179710</v>
      </c>
    </row>
    <row r="240" spans="1:7" ht="12.75">
      <c r="A240" s="196">
        <v>4</v>
      </c>
      <c r="B240" s="193">
        <v>2</v>
      </c>
      <c r="C240" s="193"/>
      <c r="D240" s="193"/>
      <c r="E240" s="197"/>
      <c r="F240" s="198" t="s">
        <v>683</v>
      </c>
      <c r="G240" s="199">
        <f>+G241</f>
        <v>0</v>
      </c>
    </row>
    <row r="241" spans="1:7" ht="12.75">
      <c r="A241" s="196">
        <v>4</v>
      </c>
      <c r="B241" s="193">
        <v>2</v>
      </c>
      <c r="C241" s="193">
        <v>1</v>
      </c>
      <c r="D241" s="193"/>
      <c r="E241" s="197"/>
      <c r="F241" s="198" t="s">
        <v>684</v>
      </c>
      <c r="G241" s="201"/>
    </row>
    <row r="242" spans="1:7" ht="12.75">
      <c r="A242" s="196">
        <v>4</v>
      </c>
      <c r="B242" s="193">
        <v>3</v>
      </c>
      <c r="C242" s="193"/>
      <c r="D242" s="193"/>
      <c r="E242" s="197"/>
      <c r="F242" s="198" t="s">
        <v>685</v>
      </c>
      <c r="G242" s="199">
        <f>+G243</f>
        <v>0</v>
      </c>
    </row>
    <row r="243" spans="1:7" ht="12.75">
      <c r="A243" s="196">
        <v>4</v>
      </c>
      <c r="B243" s="193">
        <v>3</v>
      </c>
      <c r="C243" s="193">
        <v>1</v>
      </c>
      <c r="D243" s="193"/>
      <c r="E243" s="197"/>
      <c r="F243" s="198" t="s">
        <v>648</v>
      </c>
      <c r="G243" s="201"/>
    </row>
    <row r="244" spans="1:7" ht="12.75">
      <c r="A244" s="191">
        <v>5</v>
      </c>
      <c r="B244" s="193"/>
      <c r="C244" s="193"/>
      <c r="D244" s="193"/>
      <c r="E244" s="197"/>
      <c r="F244" s="198" t="s">
        <v>548</v>
      </c>
      <c r="G244" s="199">
        <f>+G245+G248+G249</f>
        <v>29900</v>
      </c>
    </row>
    <row r="245" spans="1:7" ht="12.75">
      <c r="A245" s="196">
        <v>5</v>
      </c>
      <c r="B245" s="193">
        <v>1</v>
      </c>
      <c r="C245" s="193"/>
      <c r="D245" s="193"/>
      <c r="E245" s="197"/>
      <c r="F245" s="198" t="s">
        <v>686</v>
      </c>
      <c r="G245" s="199">
        <f>+G246+G247</f>
        <v>29900</v>
      </c>
    </row>
    <row r="246" spans="1:7" ht="12.75">
      <c r="A246" s="196">
        <v>5</v>
      </c>
      <c r="B246" s="193">
        <v>1</v>
      </c>
      <c r="C246" s="193">
        <v>1</v>
      </c>
      <c r="D246" s="193"/>
      <c r="E246" s="197"/>
      <c r="F246" s="198" t="s">
        <v>649</v>
      </c>
      <c r="G246" s="201">
        <f>+ANEXO2!D1027</f>
        <v>29900</v>
      </c>
    </row>
    <row r="247" spans="1:7" ht="12.75">
      <c r="A247" s="196">
        <v>5</v>
      </c>
      <c r="B247" s="193">
        <v>1</v>
      </c>
      <c r="C247" s="193">
        <v>2</v>
      </c>
      <c r="D247" s="193"/>
      <c r="E247" s="193"/>
      <c r="F247" s="198" t="s">
        <v>650</v>
      </c>
      <c r="G247" s="201"/>
    </row>
    <row r="248" spans="1:7" ht="12.75">
      <c r="A248" s="196">
        <v>5</v>
      </c>
      <c r="B248" s="193">
        <v>2</v>
      </c>
      <c r="C248" s="193"/>
      <c r="D248" s="193"/>
      <c r="E248" s="193"/>
      <c r="F248" s="198" t="s">
        <v>687</v>
      </c>
      <c r="G248" s="199">
        <v>0</v>
      </c>
    </row>
    <row r="249" spans="1:7" ht="12.75">
      <c r="A249" s="196">
        <v>5</v>
      </c>
      <c r="B249" s="193">
        <v>3</v>
      </c>
      <c r="C249" s="193"/>
      <c r="D249" s="193"/>
      <c r="E249" s="193"/>
      <c r="F249" s="198" t="s">
        <v>688</v>
      </c>
      <c r="G249" s="199">
        <f>+G250</f>
        <v>0</v>
      </c>
    </row>
    <row r="250" spans="1:7" ht="12.75">
      <c r="A250" s="196">
        <v>5</v>
      </c>
      <c r="B250" s="193">
        <v>3</v>
      </c>
      <c r="C250" s="193">
        <v>1</v>
      </c>
      <c r="D250" s="193"/>
      <c r="E250" s="193"/>
      <c r="F250" s="198" t="s">
        <v>651</v>
      </c>
      <c r="G250" s="201"/>
    </row>
    <row r="251" spans="1:7" ht="12.75">
      <c r="A251" s="191">
        <v>6</v>
      </c>
      <c r="B251" s="193"/>
      <c r="C251" s="193"/>
      <c r="D251" s="193"/>
      <c r="E251" s="193"/>
      <c r="F251" s="198" t="s">
        <v>553</v>
      </c>
      <c r="G251" s="199">
        <f>+G252</f>
        <v>0</v>
      </c>
    </row>
    <row r="252" spans="1:7" ht="12.75">
      <c r="A252" s="196">
        <v>6</v>
      </c>
      <c r="B252" s="193">
        <v>1</v>
      </c>
      <c r="C252" s="193"/>
      <c r="D252" s="193"/>
      <c r="E252" s="193"/>
      <c r="F252" s="198" t="s">
        <v>689</v>
      </c>
      <c r="G252" s="199">
        <f>+G253</f>
        <v>0</v>
      </c>
    </row>
    <row r="253" spans="1:7" ht="13.5" thickBot="1">
      <c r="A253" s="204">
        <v>6</v>
      </c>
      <c r="B253" s="205">
        <v>1</v>
      </c>
      <c r="C253" s="205">
        <v>1</v>
      </c>
      <c r="D253" s="205"/>
      <c r="E253" s="205"/>
      <c r="F253" s="271" t="s">
        <v>652</v>
      </c>
      <c r="G253" s="208"/>
    </row>
    <row r="254" spans="6:7" ht="13.5" thickBot="1">
      <c r="F254" s="295" t="s">
        <v>690</v>
      </c>
      <c r="G254" s="184">
        <f>+G233+G244+G251</f>
        <v>500330</v>
      </c>
    </row>
  </sheetData>
  <sheetProtection/>
  <mergeCells count="18">
    <mergeCell ref="A229:G229"/>
    <mergeCell ref="A231:E231"/>
    <mergeCell ref="A58:G58"/>
    <mergeCell ref="A60:E60"/>
    <mergeCell ref="A201:G201"/>
    <mergeCell ref="A203:E203"/>
    <mergeCell ref="A87:G87"/>
    <mergeCell ref="A89:E89"/>
    <mergeCell ref="A115:G115"/>
    <mergeCell ref="A117:E117"/>
    <mergeCell ref="A172:G172"/>
    <mergeCell ref="A174:E174"/>
    <mergeCell ref="A144:G144"/>
    <mergeCell ref="A146:E146"/>
    <mergeCell ref="A2:G2"/>
    <mergeCell ref="A4:E4"/>
    <mergeCell ref="A30:G30"/>
    <mergeCell ref="A32:E32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r:id="rId1"/>
  <rowBreaks count="11" manualBreakCount="11">
    <brk id="27" max="255" man="1"/>
    <brk id="55" max="255" man="1"/>
    <brk id="84" max="255" man="1"/>
    <brk id="112" max="255" man="1"/>
    <brk id="141" max="255" man="1"/>
    <brk id="170" max="255" man="1"/>
    <brk id="198" max="255" man="1"/>
    <brk id="226" max="255" man="1"/>
    <brk id="254" max="255" man="1"/>
    <brk id="282" max="255" man="1"/>
    <brk id="31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27"/>
  <sheetViews>
    <sheetView view="pageBreakPreview" zoomScale="50" zoomScaleNormal="75" zoomScaleSheetLayoutView="50" zoomScalePageLayoutView="0" workbookViewId="0" topLeftCell="C608">
      <selection activeCell="H671" sqref="H671"/>
    </sheetView>
  </sheetViews>
  <sheetFormatPr defaultColWidth="11.421875" defaultRowHeight="12.75"/>
  <cols>
    <col min="1" max="1" width="13.421875" style="48" customWidth="1"/>
    <col min="2" max="2" width="56.00390625" style="48" customWidth="1"/>
    <col min="3" max="3" width="23.421875" style="48" customWidth="1"/>
    <col min="4" max="4" width="19.7109375" style="48" customWidth="1"/>
    <col min="5" max="5" width="11.421875" style="48" bestFit="1" customWidth="1"/>
    <col min="6" max="6" width="13.28125" style="48" bestFit="1" customWidth="1"/>
    <col min="7" max="7" width="10.00390625" style="48" customWidth="1"/>
    <col min="8" max="8" width="11.140625" style="48" customWidth="1"/>
    <col min="9" max="9" width="10.7109375" style="48" customWidth="1"/>
    <col min="10" max="10" width="15.140625" style="48" bestFit="1" customWidth="1"/>
    <col min="11" max="11" width="9.421875" style="48" bestFit="1" customWidth="1"/>
    <col min="14" max="14" width="15.7109375" style="0" customWidth="1"/>
  </cols>
  <sheetData>
    <row r="1" ht="12.75">
      <c r="C1" s="57" t="s">
        <v>369</v>
      </c>
    </row>
    <row r="2" spans="1:7" ht="12.75">
      <c r="A2" s="764" t="s">
        <v>383</v>
      </c>
      <c r="B2" s="764"/>
      <c r="C2" s="764"/>
      <c r="D2" s="764"/>
      <c r="E2" s="14"/>
      <c r="F2" s="14"/>
      <c r="G2" s="14"/>
    </row>
    <row r="3" spans="1:2" ht="12.75">
      <c r="A3" s="33" t="s">
        <v>37</v>
      </c>
      <c r="B3" s="14" t="s">
        <v>1007</v>
      </c>
    </row>
    <row r="4" spans="1:2" ht="12.75">
      <c r="A4" s="33" t="s">
        <v>1012</v>
      </c>
      <c r="B4" s="14"/>
    </row>
    <row r="5" ht="12.75"/>
    <row r="6" spans="1:11" ht="12.75">
      <c r="A6" s="157" t="s">
        <v>621</v>
      </c>
      <c r="B6" s="157" t="s">
        <v>996</v>
      </c>
      <c r="C6" s="157" t="s">
        <v>83</v>
      </c>
      <c r="D6" s="157" t="s">
        <v>1009</v>
      </c>
      <c r="E6" s="49"/>
      <c r="F6" s="49"/>
      <c r="G6" s="50"/>
      <c r="I6"/>
      <c r="J6"/>
      <c r="K6"/>
    </row>
    <row r="7" spans="1:11" ht="12.75">
      <c r="A7" s="157"/>
      <c r="B7" s="157"/>
      <c r="C7" s="157" t="s">
        <v>1008</v>
      </c>
      <c r="D7" s="157" t="s">
        <v>638</v>
      </c>
      <c r="E7" s="49"/>
      <c r="F7" s="564"/>
      <c r="G7" s="51"/>
      <c r="I7"/>
      <c r="J7"/>
      <c r="K7"/>
    </row>
    <row r="8" spans="1:8" s="11" customFormat="1" ht="12.75">
      <c r="A8" s="49" t="s">
        <v>995</v>
      </c>
      <c r="B8" s="49"/>
      <c r="C8" s="49"/>
      <c r="D8" s="49"/>
      <c r="E8" s="49"/>
      <c r="F8" s="563"/>
      <c r="G8" s="51"/>
      <c r="H8" s="18"/>
    </row>
    <row r="9" spans="1:11" ht="12.75">
      <c r="A9" s="197" t="s">
        <v>666</v>
      </c>
      <c r="B9" s="200" t="s">
        <v>667</v>
      </c>
      <c r="C9" s="258">
        <f>251130-10040</f>
        <v>241090</v>
      </c>
      <c r="D9" s="158">
        <f aca="true" t="shared" si="0" ref="D9:D22">SUM(C9:C9)</f>
        <v>241090</v>
      </c>
      <c r="F9" s="9"/>
      <c r="I9"/>
      <c r="J9"/>
      <c r="K9"/>
    </row>
    <row r="10" spans="1:11" ht="12.75">
      <c r="A10" s="197" t="s">
        <v>668</v>
      </c>
      <c r="B10" s="200" t="s">
        <v>669</v>
      </c>
      <c r="C10" s="258">
        <f>29890-1190</f>
        <v>28700</v>
      </c>
      <c r="D10" s="158">
        <f t="shared" si="0"/>
        <v>28700</v>
      </c>
      <c r="F10" s="9"/>
      <c r="I10"/>
      <c r="J10"/>
      <c r="K10"/>
    </row>
    <row r="11" spans="1:11" ht="12.75">
      <c r="A11" s="197" t="s">
        <v>670</v>
      </c>
      <c r="B11" s="200" t="s">
        <v>726</v>
      </c>
      <c r="C11" s="258">
        <v>0</v>
      </c>
      <c r="D11" s="158">
        <f t="shared" si="0"/>
        <v>0</v>
      </c>
      <c r="F11" s="9"/>
      <c r="I11"/>
      <c r="J11"/>
      <c r="K11"/>
    </row>
    <row r="12" spans="1:11" ht="12.75">
      <c r="A12" s="197" t="s">
        <v>672</v>
      </c>
      <c r="B12" s="200" t="s">
        <v>671</v>
      </c>
      <c r="C12" s="258">
        <f>141260-5650</f>
        <v>135610</v>
      </c>
      <c r="D12" s="158">
        <f t="shared" si="0"/>
        <v>135610</v>
      </c>
      <c r="F12" s="9"/>
      <c r="I12"/>
      <c r="J12"/>
      <c r="K12"/>
    </row>
    <row r="13" spans="1:11" ht="12.75">
      <c r="A13" s="197" t="s">
        <v>673</v>
      </c>
      <c r="B13" s="200" t="s">
        <v>674</v>
      </c>
      <c r="C13" s="258">
        <f>82900-3310</f>
        <v>79590</v>
      </c>
      <c r="D13" s="158">
        <f t="shared" si="0"/>
        <v>79590</v>
      </c>
      <c r="F13" s="9"/>
      <c r="I13"/>
      <c r="J13"/>
      <c r="K13"/>
    </row>
    <row r="14" spans="1:11" ht="12.75">
      <c r="A14" s="197" t="s">
        <v>675</v>
      </c>
      <c r="B14" s="200" t="s">
        <v>727</v>
      </c>
      <c r="C14" s="258">
        <f>380-10</f>
        <v>370</v>
      </c>
      <c r="D14" s="158">
        <f t="shared" si="0"/>
        <v>370</v>
      </c>
      <c r="F14" s="9"/>
      <c r="I14"/>
      <c r="J14"/>
      <c r="K14"/>
    </row>
    <row r="15" spans="1:11" ht="12.75">
      <c r="A15" s="197" t="s">
        <v>677</v>
      </c>
      <c r="B15" s="200" t="s">
        <v>676</v>
      </c>
      <c r="C15" s="258">
        <f>44850-1790</f>
        <v>43060</v>
      </c>
      <c r="D15" s="158">
        <f t="shared" si="0"/>
        <v>43060</v>
      </c>
      <c r="F15" s="9"/>
      <c r="I15"/>
      <c r="J15"/>
      <c r="K15"/>
    </row>
    <row r="16" spans="1:11" ht="12.75">
      <c r="A16" s="197" t="s">
        <v>679</v>
      </c>
      <c r="B16" s="200" t="s">
        <v>678</v>
      </c>
      <c r="C16" s="258">
        <f>32320-1290</f>
        <v>31030</v>
      </c>
      <c r="D16" s="158">
        <f t="shared" si="0"/>
        <v>31030</v>
      </c>
      <c r="F16" s="9"/>
      <c r="I16"/>
      <c r="J16"/>
      <c r="K16"/>
    </row>
    <row r="17" spans="1:11" ht="12.75">
      <c r="A17" s="197" t="s">
        <v>680</v>
      </c>
      <c r="B17" s="200" t="s">
        <v>728</v>
      </c>
      <c r="C17" s="258">
        <f>12010-480</f>
        <v>11530</v>
      </c>
      <c r="D17" s="158">
        <f t="shared" si="0"/>
        <v>11530</v>
      </c>
      <c r="F17" s="9"/>
      <c r="I17"/>
      <c r="J17"/>
      <c r="K17"/>
    </row>
    <row r="18" spans="1:11" ht="12.75">
      <c r="A18" s="197" t="s">
        <v>681</v>
      </c>
      <c r="B18" s="200" t="s">
        <v>730</v>
      </c>
      <c r="C18" s="258">
        <f>26650-1060</f>
        <v>25590</v>
      </c>
      <c r="D18" s="158">
        <f t="shared" si="0"/>
        <v>25590</v>
      </c>
      <c r="F18" s="9"/>
      <c r="I18"/>
      <c r="J18"/>
      <c r="K18"/>
    </row>
    <row r="19" spans="1:11" ht="12.75">
      <c r="A19" s="197" t="s">
        <v>725</v>
      </c>
      <c r="B19" s="200" t="s">
        <v>731</v>
      </c>
      <c r="C19" s="258">
        <f>48250-1930</f>
        <v>46320</v>
      </c>
      <c r="D19" s="158">
        <f t="shared" si="0"/>
        <v>46320</v>
      </c>
      <c r="F19" s="9"/>
      <c r="I19"/>
      <c r="J19"/>
      <c r="K19"/>
    </row>
    <row r="20" spans="1:11" ht="12.75">
      <c r="A20" s="197" t="s">
        <v>729</v>
      </c>
      <c r="B20" s="200" t="s">
        <v>732</v>
      </c>
      <c r="C20" s="258">
        <f>26720-1060</f>
        <v>25660</v>
      </c>
      <c r="D20" s="158">
        <f t="shared" si="0"/>
        <v>25660</v>
      </c>
      <c r="F20" s="9"/>
      <c r="I20"/>
      <c r="J20"/>
      <c r="K20"/>
    </row>
    <row r="21" spans="1:11" ht="12.75">
      <c r="A21" s="197" t="s">
        <v>733</v>
      </c>
      <c r="B21" s="200" t="s">
        <v>735</v>
      </c>
      <c r="C21" s="258">
        <f>4970-190</f>
        <v>4780</v>
      </c>
      <c r="D21" s="158">
        <f t="shared" si="0"/>
        <v>4780</v>
      </c>
      <c r="F21" s="9"/>
      <c r="I21"/>
      <c r="J21"/>
      <c r="K21"/>
    </row>
    <row r="22" spans="1:11" ht="12.75">
      <c r="A22" s="197" t="s">
        <v>734</v>
      </c>
      <c r="B22" s="200" t="s">
        <v>736</v>
      </c>
      <c r="C22" s="258">
        <v>0</v>
      </c>
      <c r="D22" s="158">
        <f t="shared" si="0"/>
        <v>0</v>
      </c>
      <c r="F22" s="9"/>
      <c r="I22"/>
      <c r="J22"/>
      <c r="K22"/>
    </row>
    <row r="23" spans="1:11" ht="12.75">
      <c r="A23" s="159"/>
      <c r="B23" s="160" t="s">
        <v>638</v>
      </c>
      <c r="C23" s="158">
        <f>SUM(C9:C22)</f>
        <v>673330</v>
      </c>
      <c r="D23" s="158">
        <f>SUM(D9:D22)</f>
        <v>673330</v>
      </c>
      <c r="E23" s="52"/>
      <c r="F23" s="26"/>
      <c r="G23" s="50"/>
      <c r="I23"/>
      <c r="J23"/>
      <c r="K23"/>
    </row>
    <row r="24" ht="12.75">
      <c r="F24" s="9"/>
    </row>
    <row r="25" spans="1:11" ht="12.75">
      <c r="A25" s="157" t="s">
        <v>621</v>
      </c>
      <c r="B25" s="157" t="s">
        <v>998</v>
      </c>
      <c r="C25" s="157" t="s">
        <v>83</v>
      </c>
      <c r="D25" s="157" t="s">
        <v>1009</v>
      </c>
      <c r="E25" s="49"/>
      <c r="F25" s="9"/>
      <c r="G25" s="50"/>
      <c r="I25"/>
      <c r="J25"/>
      <c r="K25"/>
    </row>
    <row r="26" spans="1:11" ht="12.75">
      <c r="A26" s="157"/>
      <c r="B26" s="157"/>
      <c r="C26" s="157" t="s">
        <v>1008</v>
      </c>
      <c r="D26" s="157" t="s">
        <v>638</v>
      </c>
      <c r="E26" s="49"/>
      <c r="F26" s="9"/>
      <c r="G26" s="51"/>
      <c r="I26"/>
      <c r="J26"/>
      <c r="K26"/>
    </row>
    <row r="27" spans="1:8" s="11" customFormat="1" ht="12.75">
      <c r="A27" s="49" t="s">
        <v>999</v>
      </c>
      <c r="B27" s="49"/>
      <c r="C27" s="49"/>
      <c r="D27" s="49"/>
      <c r="E27" s="49"/>
      <c r="F27" s="9"/>
      <c r="G27" s="51"/>
      <c r="H27" s="18"/>
    </row>
    <row r="28" spans="1:11" ht="12.75">
      <c r="A28" s="197" t="s">
        <v>666</v>
      </c>
      <c r="B28" s="200" t="s">
        <v>667</v>
      </c>
      <c r="C28" s="258">
        <f>123760-4950</f>
        <v>118810</v>
      </c>
      <c r="D28" s="158">
        <f aca="true" t="shared" si="1" ref="D28:D41">SUM(C28:C28)</f>
        <v>118810</v>
      </c>
      <c r="F28" s="9"/>
      <c r="I28"/>
      <c r="J28"/>
      <c r="K28"/>
    </row>
    <row r="29" spans="1:11" ht="12.75">
      <c r="A29" s="197" t="s">
        <v>668</v>
      </c>
      <c r="B29" s="200" t="s">
        <v>669</v>
      </c>
      <c r="C29" s="258">
        <f>2420-100</f>
        <v>2320</v>
      </c>
      <c r="D29" s="158">
        <f t="shared" si="1"/>
        <v>2320</v>
      </c>
      <c r="F29" s="9"/>
      <c r="I29"/>
      <c r="J29"/>
      <c r="K29"/>
    </row>
    <row r="30" spans="1:11" ht="12.75">
      <c r="A30" s="197" t="s">
        <v>670</v>
      </c>
      <c r="B30" s="200" t="s">
        <v>726</v>
      </c>
      <c r="C30" s="258">
        <v>0</v>
      </c>
      <c r="D30" s="158">
        <f t="shared" si="1"/>
        <v>0</v>
      </c>
      <c r="F30" s="9"/>
      <c r="I30"/>
      <c r="J30"/>
      <c r="K30"/>
    </row>
    <row r="31" spans="1:11" ht="12.75">
      <c r="A31" s="197" t="s">
        <v>672</v>
      </c>
      <c r="B31" s="200" t="s">
        <v>671</v>
      </c>
      <c r="C31" s="258">
        <v>0</v>
      </c>
      <c r="D31" s="158">
        <f t="shared" si="1"/>
        <v>0</v>
      </c>
      <c r="F31" s="9"/>
      <c r="I31"/>
      <c r="J31"/>
      <c r="K31"/>
    </row>
    <row r="32" spans="1:11" ht="12.75">
      <c r="A32" s="197" t="s">
        <v>673</v>
      </c>
      <c r="B32" s="200" t="s">
        <v>674</v>
      </c>
      <c r="C32" s="258">
        <f>27480-1090</f>
        <v>26390</v>
      </c>
      <c r="D32" s="158">
        <f t="shared" si="1"/>
        <v>26390</v>
      </c>
      <c r="F32" s="9"/>
      <c r="I32"/>
      <c r="J32"/>
      <c r="K32"/>
    </row>
    <row r="33" spans="1:11" ht="12.75">
      <c r="A33" s="197" t="s">
        <v>675</v>
      </c>
      <c r="B33" s="200" t="s">
        <v>727</v>
      </c>
      <c r="C33" s="258">
        <v>0</v>
      </c>
      <c r="D33" s="158">
        <f t="shared" si="1"/>
        <v>0</v>
      </c>
      <c r="F33" s="9"/>
      <c r="I33"/>
      <c r="J33"/>
      <c r="K33"/>
    </row>
    <row r="34" spans="1:11" ht="12.75">
      <c r="A34" s="197" t="s">
        <v>677</v>
      </c>
      <c r="B34" s="200" t="s">
        <v>676</v>
      </c>
      <c r="C34" s="258">
        <f>22770-910</f>
        <v>21860</v>
      </c>
      <c r="D34" s="158">
        <f t="shared" si="1"/>
        <v>21860</v>
      </c>
      <c r="F34" s="9"/>
      <c r="I34"/>
      <c r="J34"/>
      <c r="K34"/>
    </row>
    <row r="35" spans="1:11" ht="12.75">
      <c r="A35" s="197" t="s">
        <v>679</v>
      </c>
      <c r="B35" s="200" t="s">
        <v>678</v>
      </c>
      <c r="C35" s="258">
        <f>9200-370</f>
        <v>8830</v>
      </c>
      <c r="D35" s="158">
        <f t="shared" si="1"/>
        <v>8830</v>
      </c>
      <c r="F35" s="9"/>
      <c r="I35"/>
      <c r="J35"/>
      <c r="K35"/>
    </row>
    <row r="36" spans="1:11" ht="12.75">
      <c r="A36" s="197" t="s">
        <v>680</v>
      </c>
      <c r="B36" s="200" t="s">
        <v>728</v>
      </c>
      <c r="C36" s="258">
        <f>10810-430</f>
        <v>10380</v>
      </c>
      <c r="D36" s="158">
        <f t="shared" si="1"/>
        <v>10380</v>
      </c>
      <c r="F36" s="9"/>
      <c r="I36"/>
      <c r="J36"/>
      <c r="K36"/>
    </row>
    <row r="37" spans="1:11" ht="12.75">
      <c r="A37" s="197" t="s">
        <v>681</v>
      </c>
      <c r="B37" s="200" t="s">
        <v>730</v>
      </c>
      <c r="C37" s="258">
        <f>19830-790</f>
        <v>19040</v>
      </c>
      <c r="D37" s="158">
        <f t="shared" si="1"/>
        <v>19040</v>
      </c>
      <c r="F37" s="9"/>
      <c r="I37"/>
      <c r="J37"/>
      <c r="K37"/>
    </row>
    <row r="38" spans="1:11" ht="12.75">
      <c r="A38" s="197" t="s">
        <v>725</v>
      </c>
      <c r="B38" s="200" t="s">
        <v>731</v>
      </c>
      <c r="C38" s="258">
        <f>23790-950</f>
        <v>22840</v>
      </c>
      <c r="D38" s="158">
        <f t="shared" si="1"/>
        <v>22840</v>
      </c>
      <c r="F38" s="9"/>
      <c r="I38"/>
      <c r="J38"/>
      <c r="K38"/>
    </row>
    <row r="39" spans="1:11" ht="12.75">
      <c r="A39" s="197" t="s">
        <v>729</v>
      </c>
      <c r="B39" s="200" t="s">
        <v>732</v>
      </c>
      <c r="C39" s="258">
        <f>13990-560</f>
        <v>13430</v>
      </c>
      <c r="D39" s="158">
        <f t="shared" si="1"/>
        <v>13430</v>
      </c>
      <c r="F39" s="9"/>
      <c r="I39"/>
      <c r="J39"/>
      <c r="K39"/>
    </row>
    <row r="40" spans="1:11" ht="12.75">
      <c r="A40" s="197" t="s">
        <v>733</v>
      </c>
      <c r="B40" s="200" t="s">
        <v>735</v>
      </c>
      <c r="C40" s="258">
        <f>3130-120</f>
        <v>3010</v>
      </c>
      <c r="D40" s="158">
        <f t="shared" si="1"/>
        <v>3010</v>
      </c>
      <c r="F40" s="9"/>
      <c r="I40"/>
      <c r="J40"/>
      <c r="K40"/>
    </row>
    <row r="41" spans="1:11" ht="12.75">
      <c r="A41" s="197" t="s">
        <v>734</v>
      </c>
      <c r="B41" s="200" t="s">
        <v>736</v>
      </c>
      <c r="C41" s="258">
        <v>0</v>
      </c>
      <c r="D41" s="158">
        <f t="shared" si="1"/>
        <v>0</v>
      </c>
      <c r="F41" s="9"/>
      <c r="I41"/>
      <c r="J41"/>
      <c r="K41"/>
    </row>
    <row r="42" spans="1:11" ht="12.75">
      <c r="A42" s="159"/>
      <c r="B42" s="160" t="s">
        <v>638</v>
      </c>
      <c r="C42" s="158">
        <f>SUM(C28:C41)</f>
        <v>246910</v>
      </c>
      <c r="D42" s="158">
        <f>SUM(D28:D41)</f>
        <v>246910</v>
      </c>
      <c r="E42" s="52"/>
      <c r="F42" s="9"/>
      <c r="G42" s="50"/>
      <c r="I42"/>
      <c r="J42"/>
      <c r="K42"/>
    </row>
    <row r="43" ht="12.75">
      <c r="A43" s="100" t="s">
        <v>511</v>
      </c>
    </row>
    <row r="44" ht="12.75"/>
    <row r="45" ht="12.75">
      <c r="C45" s="57" t="s">
        <v>371</v>
      </c>
    </row>
    <row r="46" spans="1:7" ht="12.75">
      <c r="A46" s="764" t="s">
        <v>383</v>
      </c>
      <c r="B46" s="764"/>
      <c r="C46" s="764"/>
      <c r="D46" s="764"/>
      <c r="E46" s="764"/>
      <c r="F46" s="764"/>
      <c r="G46" s="14"/>
    </row>
    <row r="47" spans="1:2" ht="12.75">
      <c r="A47" s="33" t="str">
        <f>+A3</f>
        <v>Juris.:</v>
      </c>
      <c r="B47" s="14" t="s">
        <v>1007</v>
      </c>
    </row>
    <row r="48" spans="1:2" ht="12.75">
      <c r="A48" s="33" t="s">
        <v>1012</v>
      </c>
      <c r="B48" s="14"/>
    </row>
    <row r="49" ht="12.75"/>
    <row r="50" spans="1:10" ht="12.75">
      <c r="A50" s="157" t="s">
        <v>621</v>
      </c>
      <c r="B50" s="157" t="s">
        <v>1001</v>
      </c>
      <c r="C50" s="157" t="s">
        <v>1009</v>
      </c>
      <c r="D50" s="157" t="s">
        <v>493</v>
      </c>
      <c r="E50" s="157" t="s">
        <v>1010</v>
      </c>
      <c r="F50" s="157" t="s">
        <v>1011</v>
      </c>
      <c r="G50" s="157" t="s">
        <v>1009</v>
      </c>
      <c r="H50" s="49"/>
      <c r="I50" s="49"/>
      <c r="J50" s="50"/>
    </row>
    <row r="51" spans="1:10" ht="12.75">
      <c r="A51" s="157"/>
      <c r="B51" s="157"/>
      <c r="C51" s="157" t="s">
        <v>1008</v>
      </c>
      <c r="D51" s="157" t="s">
        <v>494</v>
      </c>
      <c r="E51" s="157"/>
      <c r="F51" s="157"/>
      <c r="G51" s="157" t="s">
        <v>638</v>
      </c>
      <c r="H51" s="49"/>
      <c r="I51" s="564"/>
      <c r="J51" s="51"/>
    </row>
    <row r="52" spans="1:11" s="11" customFormat="1" ht="12.75">
      <c r="A52" s="49" t="s">
        <v>1000</v>
      </c>
      <c r="B52" s="49"/>
      <c r="C52" s="49"/>
      <c r="D52" s="49"/>
      <c r="E52" s="49"/>
      <c r="F52" s="49"/>
      <c r="G52" s="49"/>
      <c r="H52" s="49"/>
      <c r="I52" s="563"/>
      <c r="J52" s="51"/>
      <c r="K52" s="18"/>
    </row>
    <row r="53" spans="1:9" ht="12.75">
      <c r="A53" s="193">
        <v>1</v>
      </c>
      <c r="B53" s="200" t="s">
        <v>834</v>
      </c>
      <c r="C53" s="258">
        <f>3700-2000</f>
        <v>1700</v>
      </c>
      <c r="D53" s="258"/>
      <c r="E53" s="258"/>
      <c r="F53" s="258">
        <f>3500-560-2000</f>
        <v>940</v>
      </c>
      <c r="G53" s="158">
        <f aca="true" t="shared" si="2" ref="G53:G71">SUM(C53:F53)</f>
        <v>2640</v>
      </c>
      <c r="H53" s="392"/>
      <c r="I53" s="9"/>
    </row>
    <row r="54" spans="1:9" ht="12.75">
      <c r="A54" s="193">
        <v>2</v>
      </c>
      <c r="B54" s="200" t="s">
        <v>835</v>
      </c>
      <c r="C54" s="258"/>
      <c r="D54" s="258"/>
      <c r="E54" s="258"/>
      <c r="F54" s="258"/>
      <c r="G54" s="158">
        <f t="shared" si="2"/>
        <v>0</v>
      </c>
      <c r="I54" s="9"/>
    </row>
    <row r="55" spans="1:9" ht="12.75">
      <c r="A55" s="193">
        <v>3</v>
      </c>
      <c r="B55" s="200" t="s">
        <v>836</v>
      </c>
      <c r="C55" s="258">
        <f>2000-1500</f>
        <v>500</v>
      </c>
      <c r="D55" s="258"/>
      <c r="E55" s="258">
        <v>3600</v>
      </c>
      <c r="F55" s="258"/>
      <c r="G55" s="158">
        <f t="shared" si="2"/>
        <v>4100</v>
      </c>
      <c r="I55" s="9"/>
    </row>
    <row r="56" spans="1:9" ht="12.75">
      <c r="A56" s="193">
        <v>4</v>
      </c>
      <c r="B56" s="200" t="s">
        <v>837</v>
      </c>
      <c r="C56" s="258"/>
      <c r="D56" s="258"/>
      <c r="E56" s="258">
        <v>1200</v>
      </c>
      <c r="F56" s="258">
        <f>2000-320</f>
        <v>1680</v>
      </c>
      <c r="G56" s="158">
        <f t="shared" si="2"/>
        <v>2880</v>
      </c>
      <c r="I56" s="9"/>
    </row>
    <row r="57" spans="1:9" ht="12.75">
      <c r="A57" s="193">
        <v>5</v>
      </c>
      <c r="B57" s="200" t="s">
        <v>838</v>
      </c>
      <c r="C57" s="258">
        <f>5000-4000</f>
        <v>1000</v>
      </c>
      <c r="D57" s="258">
        <v>1830</v>
      </c>
      <c r="E57" s="258">
        <f>2400-1000</f>
        <v>1400</v>
      </c>
      <c r="F57" s="258">
        <f>2800-440</f>
        <v>2360</v>
      </c>
      <c r="G57" s="158">
        <f t="shared" si="2"/>
        <v>6590</v>
      </c>
      <c r="I57" s="9"/>
    </row>
    <row r="58" spans="1:9" ht="12.75">
      <c r="A58" s="193">
        <v>6</v>
      </c>
      <c r="B58" s="200" t="s">
        <v>839</v>
      </c>
      <c r="C58" s="258"/>
      <c r="D58" s="258">
        <v>100</v>
      </c>
      <c r="E58" s="258"/>
      <c r="F58" s="258"/>
      <c r="G58" s="158">
        <f t="shared" si="2"/>
        <v>100</v>
      </c>
      <c r="I58" s="9"/>
    </row>
    <row r="59" spans="1:9" ht="12.75">
      <c r="A59" s="193">
        <v>7</v>
      </c>
      <c r="B59" s="200" t="s">
        <v>840</v>
      </c>
      <c r="C59" s="258">
        <v>1500</v>
      </c>
      <c r="D59" s="258"/>
      <c r="E59" s="258">
        <v>2000</v>
      </c>
      <c r="F59" s="258"/>
      <c r="G59" s="158">
        <f t="shared" si="2"/>
        <v>3500</v>
      </c>
      <c r="I59" s="9"/>
    </row>
    <row r="60" spans="1:9" ht="12.75">
      <c r="A60" s="193">
        <v>8</v>
      </c>
      <c r="B60" s="200" t="s">
        <v>842</v>
      </c>
      <c r="C60" s="258"/>
      <c r="D60" s="258"/>
      <c r="E60" s="258"/>
      <c r="F60" s="258"/>
      <c r="G60" s="158">
        <f t="shared" si="2"/>
        <v>0</v>
      </c>
      <c r="I60" s="9"/>
    </row>
    <row r="61" spans="1:9" ht="12.75">
      <c r="A61" s="193">
        <v>9</v>
      </c>
      <c r="B61" s="200" t="s">
        <v>843</v>
      </c>
      <c r="C61" s="258"/>
      <c r="D61" s="258">
        <v>40</v>
      </c>
      <c r="E61" s="258"/>
      <c r="F61" s="258"/>
      <c r="G61" s="158">
        <f t="shared" si="2"/>
        <v>40</v>
      </c>
      <c r="I61" s="9"/>
    </row>
    <row r="62" spans="1:9" ht="12.75">
      <c r="A62" s="193">
        <v>10</v>
      </c>
      <c r="B62" s="200" t="s">
        <v>844</v>
      </c>
      <c r="C62" s="258"/>
      <c r="D62" s="258">
        <v>100</v>
      </c>
      <c r="E62" s="258"/>
      <c r="F62" s="258"/>
      <c r="G62" s="158">
        <f t="shared" si="2"/>
        <v>100</v>
      </c>
      <c r="I62" s="9"/>
    </row>
    <row r="63" spans="1:9" ht="12.75">
      <c r="A63" s="193">
        <v>11</v>
      </c>
      <c r="B63" s="200" t="s">
        <v>845</v>
      </c>
      <c r="C63" s="258">
        <f>2700-700</f>
        <v>2000</v>
      </c>
      <c r="D63" s="258"/>
      <c r="E63" s="258"/>
      <c r="F63" s="258">
        <f>10000-1600-2000</f>
        <v>6400</v>
      </c>
      <c r="G63" s="158">
        <f t="shared" si="2"/>
        <v>8400</v>
      </c>
      <c r="I63" s="9"/>
    </row>
    <row r="64" spans="1:9" ht="12.75">
      <c r="A64" s="193">
        <v>12</v>
      </c>
      <c r="B64" s="200" t="s">
        <v>846</v>
      </c>
      <c r="C64" s="258">
        <v>1800</v>
      </c>
      <c r="D64" s="258"/>
      <c r="E64" s="258">
        <v>3600</v>
      </c>
      <c r="F64" s="258"/>
      <c r="G64" s="158">
        <f t="shared" si="2"/>
        <v>5400</v>
      </c>
      <c r="I64" s="9"/>
    </row>
    <row r="65" spans="1:9" ht="12.75">
      <c r="A65" s="193">
        <v>13</v>
      </c>
      <c r="B65" s="200" t="s">
        <v>847</v>
      </c>
      <c r="C65" s="258"/>
      <c r="D65" s="258"/>
      <c r="E65" s="258"/>
      <c r="F65" s="258">
        <f>15000-2400-5000</f>
        <v>7600</v>
      </c>
      <c r="G65" s="158">
        <f t="shared" si="2"/>
        <v>7600</v>
      </c>
      <c r="I65" s="9"/>
    </row>
    <row r="66" spans="1:9" ht="12.75">
      <c r="A66" s="193">
        <v>14</v>
      </c>
      <c r="B66" s="200" t="s">
        <v>848</v>
      </c>
      <c r="C66" s="258"/>
      <c r="D66" s="258"/>
      <c r="E66" s="258"/>
      <c r="F66" s="258"/>
      <c r="G66" s="158">
        <f t="shared" si="2"/>
        <v>0</v>
      </c>
      <c r="I66" s="9"/>
    </row>
    <row r="67" spans="1:9" ht="12.75">
      <c r="A67" s="193">
        <v>15</v>
      </c>
      <c r="B67" s="200" t="s">
        <v>849</v>
      </c>
      <c r="C67" s="258">
        <f>20000-4000+200</f>
        <v>16200</v>
      </c>
      <c r="D67" s="258">
        <v>120</v>
      </c>
      <c r="E67" s="258">
        <v>9600</v>
      </c>
      <c r="F67" s="258">
        <f>10000-1600</f>
        <v>8400</v>
      </c>
      <c r="G67" s="158">
        <f t="shared" si="2"/>
        <v>34320</v>
      </c>
      <c r="I67" s="9"/>
    </row>
    <row r="68" spans="1:9" ht="12.75">
      <c r="A68" s="193">
        <v>16</v>
      </c>
      <c r="B68" s="200" t="s">
        <v>850</v>
      </c>
      <c r="C68" s="258"/>
      <c r="D68" s="258"/>
      <c r="E68" s="258"/>
      <c r="F68" s="258"/>
      <c r="G68" s="158">
        <f t="shared" si="2"/>
        <v>0</v>
      </c>
      <c r="I68" s="9"/>
    </row>
    <row r="69" spans="1:9" ht="12.75">
      <c r="A69" s="193">
        <v>17</v>
      </c>
      <c r="B69" s="200" t="s">
        <v>851</v>
      </c>
      <c r="C69" s="258"/>
      <c r="D69" s="258"/>
      <c r="E69" s="258"/>
      <c r="F69" s="258"/>
      <c r="G69" s="158">
        <f t="shared" si="2"/>
        <v>0</v>
      </c>
      <c r="I69" s="9"/>
    </row>
    <row r="70" spans="1:9" ht="12.75">
      <c r="A70" s="193">
        <v>18</v>
      </c>
      <c r="B70" s="200" t="s">
        <v>852</v>
      </c>
      <c r="C70" s="258"/>
      <c r="D70" s="258"/>
      <c r="E70" s="258"/>
      <c r="F70" s="258"/>
      <c r="G70" s="158">
        <f t="shared" si="2"/>
        <v>0</v>
      </c>
      <c r="I70" s="9"/>
    </row>
    <row r="71" spans="1:9" ht="12.75">
      <c r="A71" s="193">
        <v>19</v>
      </c>
      <c r="B71" s="200" t="s">
        <v>853</v>
      </c>
      <c r="C71" s="258"/>
      <c r="D71" s="258"/>
      <c r="E71" s="258"/>
      <c r="F71" s="258"/>
      <c r="G71" s="158">
        <f t="shared" si="2"/>
        <v>0</v>
      </c>
      <c r="I71" s="9"/>
    </row>
    <row r="72" spans="1:10" ht="12.75">
      <c r="A72" s="159"/>
      <c r="B72" s="160" t="s">
        <v>638</v>
      </c>
      <c r="C72" s="158">
        <f>SUM(C53:C71)</f>
        <v>24700</v>
      </c>
      <c r="D72" s="158">
        <f>SUM(D53:D71)</f>
        <v>2190</v>
      </c>
      <c r="E72" s="158">
        <f>SUM(E53:E71)</f>
        <v>21400</v>
      </c>
      <c r="F72" s="158">
        <f>SUM(F53:F71)</f>
        <v>27380</v>
      </c>
      <c r="G72" s="158">
        <f>SUM(G53:G71)</f>
        <v>75670</v>
      </c>
      <c r="H72" s="52"/>
      <c r="I72" s="52"/>
      <c r="J72" s="50"/>
    </row>
    <row r="73" ht="12.75"/>
    <row r="74" spans="1:10" ht="12.75">
      <c r="A74" s="157" t="s">
        <v>621</v>
      </c>
      <c r="B74" s="157" t="s">
        <v>990</v>
      </c>
      <c r="C74" s="157" t="s">
        <v>1009</v>
      </c>
      <c r="D74" s="157" t="s">
        <v>493</v>
      </c>
      <c r="E74" s="157" t="s">
        <v>1010</v>
      </c>
      <c r="F74" s="157" t="s">
        <v>1011</v>
      </c>
      <c r="G74" s="157" t="s">
        <v>1009</v>
      </c>
      <c r="H74" s="49"/>
      <c r="I74" s="49"/>
      <c r="J74" s="50"/>
    </row>
    <row r="75" spans="1:10" ht="12.75">
      <c r="A75" s="157"/>
      <c r="B75" s="157"/>
      <c r="C75" s="157" t="s">
        <v>1008</v>
      </c>
      <c r="D75" s="157" t="s">
        <v>494</v>
      </c>
      <c r="E75" s="157"/>
      <c r="F75" s="157"/>
      <c r="G75" s="157" t="s">
        <v>638</v>
      </c>
      <c r="H75" s="49"/>
      <c r="I75" s="564"/>
      <c r="J75" s="51"/>
    </row>
    <row r="76" spans="1:9" ht="12.75">
      <c r="A76" s="49" t="s">
        <v>1002</v>
      </c>
      <c r="I76" s="563"/>
    </row>
    <row r="77" spans="1:9" ht="12.75">
      <c r="A77" s="193">
        <v>1</v>
      </c>
      <c r="B77" s="200" t="s">
        <v>854</v>
      </c>
      <c r="C77" s="258"/>
      <c r="D77" s="258"/>
      <c r="E77" s="258"/>
      <c r="F77" s="258"/>
      <c r="G77" s="158">
        <f aca="true" t="shared" si="3" ref="G77:G98">SUM(C77:F77)</f>
        <v>0</v>
      </c>
      <c r="I77" s="9"/>
    </row>
    <row r="78" spans="1:9" ht="12.75">
      <c r="A78" s="193">
        <v>2</v>
      </c>
      <c r="B78" s="200" t="s">
        <v>855</v>
      </c>
      <c r="C78" s="258"/>
      <c r="D78" s="258"/>
      <c r="E78" s="258"/>
      <c r="F78" s="258"/>
      <c r="G78" s="158">
        <f t="shared" si="3"/>
        <v>0</v>
      </c>
      <c r="I78" s="9"/>
    </row>
    <row r="79" spans="1:9" ht="12.75">
      <c r="A79" s="193">
        <v>3</v>
      </c>
      <c r="B79" s="200" t="s">
        <v>856</v>
      </c>
      <c r="C79" s="258">
        <v>500</v>
      </c>
      <c r="D79" s="258"/>
      <c r="E79" s="258">
        <f>2000-400</f>
        <v>1600</v>
      </c>
      <c r="F79" s="258"/>
      <c r="G79" s="158">
        <f t="shared" si="3"/>
        <v>2100</v>
      </c>
      <c r="I79" s="9"/>
    </row>
    <row r="80" spans="1:9" ht="12.75">
      <c r="A80" s="193">
        <v>4</v>
      </c>
      <c r="B80" s="200" t="s">
        <v>857</v>
      </c>
      <c r="C80" s="258"/>
      <c r="D80" s="258"/>
      <c r="E80" s="258"/>
      <c r="F80" s="258"/>
      <c r="G80" s="158">
        <f t="shared" si="3"/>
        <v>0</v>
      </c>
      <c r="I80" s="9"/>
    </row>
    <row r="81" spans="1:7" ht="12.75">
      <c r="A81" s="193">
        <v>5</v>
      </c>
      <c r="B81" s="200" t="s">
        <v>858</v>
      </c>
      <c r="C81" s="258"/>
      <c r="D81" s="258"/>
      <c r="E81" s="258">
        <v>5000</v>
      </c>
      <c r="F81" s="258">
        <f>30000-5600</f>
        <v>24400</v>
      </c>
      <c r="G81" s="158">
        <f t="shared" si="3"/>
        <v>29400</v>
      </c>
    </row>
    <row r="82" spans="1:9" ht="12.75">
      <c r="A82" s="193">
        <v>6</v>
      </c>
      <c r="B82" s="200" t="s">
        <v>859</v>
      </c>
      <c r="C82" s="258">
        <f>30000-5600</f>
        <v>24400</v>
      </c>
      <c r="D82" s="258"/>
      <c r="E82" s="258"/>
      <c r="F82" s="258">
        <v>5000</v>
      </c>
      <c r="G82" s="158">
        <f t="shared" si="3"/>
        <v>29400</v>
      </c>
      <c r="I82" s="9"/>
    </row>
    <row r="83" spans="1:9" ht="12.75">
      <c r="A83" s="193">
        <v>7</v>
      </c>
      <c r="B83" s="200" t="s">
        <v>860</v>
      </c>
      <c r="C83" s="258">
        <f>60000-9600</f>
        <v>50400</v>
      </c>
      <c r="D83" s="258"/>
      <c r="E83" s="258"/>
      <c r="F83" s="258"/>
      <c r="G83" s="158">
        <f t="shared" si="3"/>
        <v>50400</v>
      </c>
      <c r="I83" s="9"/>
    </row>
    <row r="84" spans="1:9" ht="12.75">
      <c r="A84" s="193">
        <v>8</v>
      </c>
      <c r="B84" s="200" t="s">
        <v>861</v>
      </c>
      <c r="C84" s="258">
        <f>200-30</f>
        <v>170</v>
      </c>
      <c r="D84" s="258"/>
      <c r="E84" s="258"/>
      <c r="F84" s="258"/>
      <c r="G84" s="158">
        <f t="shared" si="3"/>
        <v>170</v>
      </c>
      <c r="I84" s="9"/>
    </row>
    <row r="85" spans="1:9" ht="12.75">
      <c r="A85" s="193">
        <v>9</v>
      </c>
      <c r="B85" s="200" t="s">
        <v>862</v>
      </c>
      <c r="C85" s="258">
        <v>7000</v>
      </c>
      <c r="D85" s="258"/>
      <c r="E85" s="258"/>
      <c r="F85" s="258">
        <f>20000-4320</f>
        <v>15680</v>
      </c>
      <c r="G85" s="158">
        <f t="shared" si="3"/>
        <v>22680</v>
      </c>
      <c r="I85" s="9"/>
    </row>
    <row r="86" spans="1:9" ht="12.75">
      <c r="A86" s="193">
        <v>10</v>
      </c>
      <c r="B86" s="200" t="s">
        <v>863</v>
      </c>
      <c r="C86" s="258"/>
      <c r="D86" s="258"/>
      <c r="E86" s="258"/>
      <c r="F86" s="258">
        <f>5000-800</f>
        <v>4200</v>
      </c>
      <c r="G86" s="158">
        <f t="shared" si="3"/>
        <v>4200</v>
      </c>
      <c r="I86" s="9"/>
    </row>
    <row r="87" spans="1:9" ht="12.75">
      <c r="A87" s="193">
        <v>11</v>
      </c>
      <c r="B87" s="200" t="s">
        <v>864</v>
      </c>
      <c r="C87" s="258"/>
      <c r="D87" s="258"/>
      <c r="E87" s="258"/>
      <c r="F87" s="258"/>
      <c r="G87" s="158">
        <f t="shared" si="3"/>
        <v>0</v>
      </c>
      <c r="I87" s="9"/>
    </row>
    <row r="88" spans="1:9" ht="12.75">
      <c r="A88" s="193">
        <v>12</v>
      </c>
      <c r="B88" s="200" t="s">
        <v>865</v>
      </c>
      <c r="C88" s="258"/>
      <c r="D88" s="258"/>
      <c r="E88" s="258"/>
      <c r="F88" s="258"/>
      <c r="G88" s="158">
        <f t="shared" si="3"/>
        <v>0</v>
      </c>
      <c r="I88" s="9"/>
    </row>
    <row r="89" spans="1:9" ht="12.75">
      <c r="A89" s="193">
        <v>13</v>
      </c>
      <c r="B89" s="200" t="s">
        <v>866</v>
      </c>
      <c r="C89" s="258"/>
      <c r="D89" s="258"/>
      <c r="E89" s="258"/>
      <c r="F89" s="258">
        <f>2000-320</f>
        <v>1680</v>
      </c>
      <c r="G89" s="158">
        <f t="shared" si="3"/>
        <v>1680</v>
      </c>
      <c r="I89" s="9"/>
    </row>
    <row r="90" spans="1:9" ht="12.75">
      <c r="A90" s="193">
        <v>14</v>
      </c>
      <c r="B90" s="200" t="s">
        <v>867</v>
      </c>
      <c r="C90" s="258">
        <v>600</v>
      </c>
      <c r="D90" s="258"/>
      <c r="E90" s="258">
        <f>2500-490</f>
        <v>2010</v>
      </c>
      <c r="F90" s="258"/>
      <c r="G90" s="158">
        <f t="shared" si="3"/>
        <v>2610</v>
      </c>
      <c r="I90" s="9"/>
    </row>
    <row r="91" spans="1:9" ht="12.75">
      <c r="A91" s="193">
        <v>15</v>
      </c>
      <c r="B91" s="200" t="s">
        <v>868</v>
      </c>
      <c r="C91" s="258"/>
      <c r="D91" s="258"/>
      <c r="E91" s="258"/>
      <c r="F91" s="258"/>
      <c r="G91" s="158">
        <f t="shared" si="3"/>
        <v>0</v>
      </c>
      <c r="I91" s="9"/>
    </row>
    <row r="92" spans="1:9" ht="12.75">
      <c r="A92" s="193">
        <v>16</v>
      </c>
      <c r="B92" s="200" t="s">
        <v>869</v>
      </c>
      <c r="C92" s="258"/>
      <c r="D92" s="258"/>
      <c r="E92" s="258"/>
      <c r="F92" s="258">
        <f>1500-240</f>
        <v>1260</v>
      </c>
      <c r="G92" s="158">
        <f t="shared" si="3"/>
        <v>1260</v>
      </c>
      <c r="I92" s="9"/>
    </row>
    <row r="93" spans="1:9" ht="12.75">
      <c r="A93" s="193">
        <v>17</v>
      </c>
      <c r="B93" s="200" t="s">
        <v>870</v>
      </c>
      <c r="C93" s="258">
        <v>3000</v>
      </c>
      <c r="D93" s="258">
        <v>11000</v>
      </c>
      <c r="E93" s="258"/>
      <c r="F93" s="258">
        <f>20000-5440</f>
        <v>14560</v>
      </c>
      <c r="G93" s="158">
        <f t="shared" si="3"/>
        <v>28560</v>
      </c>
      <c r="I93" s="9"/>
    </row>
    <row r="94" spans="1:9" ht="12.75">
      <c r="A94" s="193">
        <v>18</v>
      </c>
      <c r="B94" s="200" t="s">
        <v>871</v>
      </c>
      <c r="C94" s="258"/>
      <c r="D94" s="258"/>
      <c r="E94" s="258"/>
      <c r="F94" s="258"/>
      <c r="G94" s="158">
        <f t="shared" si="3"/>
        <v>0</v>
      </c>
      <c r="I94" s="9"/>
    </row>
    <row r="95" spans="1:9" ht="12.75">
      <c r="A95" s="193">
        <v>19</v>
      </c>
      <c r="B95" s="200" t="s">
        <v>872</v>
      </c>
      <c r="C95" s="258"/>
      <c r="D95" s="258"/>
      <c r="E95" s="258"/>
      <c r="F95" s="258"/>
      <c r="G95" s="158">
        <f t="shared" si="3"/>
        <v>0</v>
      </c>
      <c r="I95" s="9"/>
    </row>
    <row r="96" spans="1:9" ht="12.75">
      <c r="A96" s="193">
        <v>20</v>
      </c>
      <c r="B96" s="200" t="s">
        <v>873</v>
      </c>
      <c r="C96" s="258"/>
      <c r="D96" s="258"/>
      <c r="E96" s="258"/>
      <c r="F96" s="258">
        <f>10000-1600</f>
        <v>8400</v>
      </c>
      <c r="G96" s="158">
        <f t="shared" si="3"/>
        <v>8400</v>
      </c>
      <c r="I96" s="9"/>
    </row>
    <row r="97" spans="1:9" ht="12.75">
      <c r="A97" s="193">
        <v>21</v>
      </c>
      <c r="B97" s="200" t="s">
        <v>874</v>
      </c>
      <c r="C97" s="258">
        <f>25000-4800</f>
        <v>20200</v>
      </c>
      <c r="D97" s="258">
        <v>5000</v>
      </c>
      <c r="E97" s="258"/>
      <c r="F97" s="258"/>
      <c r="G97" s="158">
        <f t="shared" si="3"/>
        <v>25200</v>
      </c>
      <c r="I97" s="9"/>
    </row>
    <row r="98" spans="1:9" ht="12.75">
      <c r="A98" s="193" t="s">
        <v>106</v>
      </c>
      <c r="B98" s="200" t="s">
        <v>107</v>
      </c>
      <c r="C98" s="258">
        <f>240000-66240-40000</f>
        <v>133760</v>
      </c>
      <c r="D98" s="258"/>
      <c r="E98" s="258">
        <v>12000</v>
      </c>
      <c r="F98" s="258">
        <f>162000-35200</f>
        <v>126800</v>
      </c>
      <c r="G98" s="158">
        <f t="shared" si="3"/>
        <v>272560</v>
      </c>
      <c r="I98" s="9"/>
    </row>
    <row r="99" spans="1:10" ht="12.75">
      <c r="A99" s="159"/>
      <c r="B99" s="160" t="s">
        <v>638</v>
      </c>
      <c r="C99" s="158">
        <f>SUM(C77:C98)</f>
        <v>240030</v>
      </c>
      <c r="D99" s="158">
        <f>SUM(D77:D98)</f>
        <v>16000</v>
      </c>
      <c r="E99" s="158">
        <f>SUM(E77:E98)</f>
        <v>20610</v>
      </c>
      <c r="F99" s="158">
        <f>SUM(F77:F98)</f>
        <v>201980</v>
      </c>
      <c r="G99" s="158">
        <f>SUM(G77:G98)</f>
        <v>478620</v>
      </c>
      <c r="H99" s="52"/>
      <c r="I99" s="52"/>
      <c r="J99" s="50"/>
    </row>
    <row r="100" ht="12.75">
      <c r="D100" s="57" t="s">
        <v>370</v>
      </c>
    </row>
    <row r="101" spans="1:7" ht="12.75">
      <c r="A101" s="764" t="s">
        <v>383</v>
      </c>
      <c r="B101" s="764"/>
      <c r="C101" s="764"/>
      <c r="D101" s="764"/>
      <c r="E101" s="764"/>
      <c r="F101" s="764"/>
      <c r="G101" s="14"/>
    </row>
    <row r="102" spans="1:2" ht="12.75">
      <c r="A102" s="33" t="str">
        <f>+A47</f>
        <v>Juris.:</v>
      </c>
      <c r="B102" s="14" t="s">
        <v>1007</v>
      </c>
    </row>
    <row r="103" spans="1:2" ht="12.75">
      <c r="A103" s="33" t="s">
        <v>1012</v>
      </c>
      <c r="B103" s="14"/>
    </row>
    <row r="104" ht="12.75"/>
    <row r="105" spans="1:10" ht="12.75">
      <c r="A105" s="157" t="s">
        <v>621</v>
      </c>
      <c r="B105" s="157" t="s">
        <v>1016</v>
      </c>
      <c r="C105" s="157" t="s">
        <v>1009</v>
      </c>
      <c r="D105" s="157" t="s">
        <v>493</v>
      </c>
      <c r="E105" s="157" t="s">
        <v>1010</v>
      </c>
      <c r="F105" s="157" t="s">
        <v>1011</v>
      </c>
      <c r="G105" s="157" t="s">
        <v>1009</v>
      </c>
      <c r="H105" s="49"/>
      <c r="I105" s="564"/>
      <c r="J105" s="50"/>
    </row>
    <row r="106" spans="1:10" ht="12.75">
      <c r="A106" s="157"/>
      <c r="B106" s="157"/>
      <c r="C106" s="157" t="s">
        <v>1008</v>
      </c>
      <c r="D106" s="157" t="s">
        <v>494</v>
      </c>
      <c r="E106" s="157"/>
      <c r="F106" s="157"/>
      <c r="G106" s="157" t="s">
        <v>638</v>
      </c>
      <c r="H106" s="49"/>
      <c r="I106" s="563"/>
      <c r="J106" s="51"/>
    </row>
    <row r="107" spans="1:9" ht="12.75">
      <c r="A107" s="49" t="s">
        <v>1003</v>
      </c>
      <c r="I107" s="9"/>
    </row>
    <row r="108" spans="1:9" ht="12.75">
      <c r="A108" s="193">
        <v>1</v>
      </c>
      <c r="B108" s="200" t="s">
        <v>875</v>
      </c>
      <c r="C108" s="258">
        <v>1500</v>
      </c>
      <c r="D108" s="258">
        <v>3150</v>
      </c>
      <c r="E108" s="258"/>
      <c r="F108" s="258">
        <f>40000-7140-10000</f>
        <v>22860</v>
      </c>
      <c r="G108" s="158">
        <f aca="true" t="shared" si="4" ref="G108:G118">SUM(C108:F108)</f>
        <v>27510</v>
      </c>
      <c r="I108" s="9"/>
    </row>
    <row r="109" spans="1:9" ht="12.75">
      <c r="A109" s="193">
        <v>2</v>
      </c>
      <c r="B109" s="200" t="s">
        <v>876</v>
      </c>
      <c r="C109" s="258">
        <v>3000</v>
      </c>
      <c r="D109" s="258"/>
      <c r="E109" s="258">
        <f>12500-2480</f>
        <v>10020</v>
      </c>
      <c r="F109" s="258"/>
      <c r="G109" s="158">
        <f t="shared" si="4"/>
        <v>13020</v>
      </c>
      <c r="I109" s="9"/>
    </row>
    <row r="110" spans="1:9" ht="12.75">
      <c r="A110" s="193">
        <v>3</v>
      </c>
      <c r="B110" s="200" t="s">
        <v>877</v>
      </c>
      <c r="C110" s="258"/>
      <c r="D110" s="258"/>
      <c r="E110" s="258"/>
      <c r="F110" s="258">
        <f>40000-6400</f>
        <v>33600</v>
      </c>
      <c r="G110" s="158">
        <f t="shared" si="4"/>
        <v>33600</v>
      </c>
      <c r="I110" s="9"/>
    </row>
    <row r="111" spans="1:9" ht="12.75">
      <c r="A111" s="193">
        <v>4</v>
      </c>
      <c r="B111" s="200" t="s">
        <v>878</v>
      </c>
      <c r="C111" s="258">
        <f>5000-670</f>
        <v>4330</v>
      </c>
      <c r="D111" s="258"/>
      <c r="E111" s="258"/>
      <c r="F111" s="258"/>
      <c r="G111" s="158">
        <f t="shared" si="4"/>
        <v>4330</v>
      </c>
      <c r="I111" s="9"/>
    </row>
    <row r="112" spans="1:9" ht="12.75">
      <c r="A112" s="193">
        <v>5</v>
      </c>
      <c r="B112" s="200" t="s">
        <v>879</v>
      </c>
      <c r="C112" s="258"/>
      <c r="D112" s="258"/>
      <c r="E112" s="258"/>
      <c r="F112" s="258">
        <f>5000-800</f>
        <v>4200</v>
      </c>
      <c r="G112" s="158">
        <f t="shared" si="4"/>
        <v>4200</v>
      </c>
      <c r="I112" s="9"/>
    </row>
    <row r="113" spans="1:9" ht="12.75">
      <c r="A113" s="193">
        <v>6</v>
      </c>
      <c r="B113" s="200" t="s">
        <v>880</v>
      </c>
      <c r="C113" s="258"/>
      <c r="D113" s="258"/>
      <c r="E113" s="258">
        <v>2000</v>
      </c>
      <c r="F113" s="258">
        <f>15000-2720-8000</f>
        <v>4280</v>
      </c>
      <c r="G113" s="158">
        <f t="shared" si="4"/>
        <v>6280</v>
      </c>
      <c r="I113" s="9"/>
    </row>
    <row r="114" spans="1:9" ht="12.75">
      <c r="A114" s="193">
        <v>7</v>
      </c>
      <c r="B114" s="200" t="s">
        <v>893</v>
      </c>
      <c r="C114" s="258"/>
      <c r="D114" s="258"/>
      <c r="E114" s="258"/>
      <c r="F114" s="258"/>
      <c r="G114" s="158">
        <f t="shared" si="4"/>
        <v>0</v>
      </c>
      <c r="I114" s="9"/>
    </row>
    <row r="115" spans="1:9" ht="12.75">
      <c r="A115" s="193">
        <v>8</v>
      </c>
      <c r="B115" s="200" t="s">
        <v>894</v>
      </c>
      <c r="C115" s="258">
        <f>13000-2720-5000</f>
        <v>5280</v>
      </c>
      <c r="D115" s="258">
        <v>2500</v>
      </c>
      <c r="E115" s="258">
        <v>1500</v>
      </c>
      <c r="F115" s="258"/>
      <c r="G115" s="158">
        <f t="shared" si="4"/>
        <v>9280</v>
      </c>
      <c r="I115" s="9"/>
    </row>
    <row r="116" spans="1:9" ht="12.75">
      <c r="A116" s="193">
        <v>9</v>
      </c>
      <c r="B116" s="200" t="s">
        <v>897</v>
      </c>
      <c r="C116" s="258"/>
      <c r="D116" s="258"/>
      <c r="E116" s="258"/>
      <c r="F116" s="258"/>
      <c r="G116" s="158">
        <f t="shared" si="4"/>
        <v>0</v>
      </c>
      <c r="I116" s="9"/>
    </row>
    <row r="117" spans="1:9" ht="12.75">
      <c r="A117" s="193">
        <v>10</v>
      </c>
      <c r="B117" s="200" t="s">
        <v>895</v>
      </c>
      <c r="C117" s="258">
        <f>3000-480</f>
        <v>2520</v>
      </c>
      <c r="D117" s="258"/>
      <c r="E117" s="258"/>
      <c r="F117" s="258"/>
      <c r="G117" s="158">
        <f t="shared" si="4"/>
        <v>2520</v>
      </c>
      <c r="I117" s="9"/>
    </row>
    <row r="118" spans="1:9" ht="12.75">
      <c r="A118" s="193" t="s">
        <v>911</v>
      </c>
      <c r="B118" s="200" t="s">
        <v>738</v>
      </c>
      <c r="C118" s="258"/>
      <c r="D118" s="258">
        <v>670</v>
      </c>
      <c r="E118" s="258">
        <f>2500-500</f>
        <v>2000</v>
      </c>
      <c r="F118" s="258"/>
      <c r="G118" s="158">
        <f t="shared" si="4"/>
        <v>2670</v>
      </c>
      <c r="I118" s="9"/>
    </row>
    <row r="119" spans="1:10" ht="12.75">
      <c r="A119" s="159"/>
      <c r="B119" s="160" t="s">
        <v>638</v>
      </c>
      <c r="C119" s="158">
        <f>SUM(C108:C118)</f>
        <v>16630</v>
      </c>
      <c r="D119" s="158">
        <f>SUM(D108:D118)</f>
        <v>6320</v>
      </c>
      <c r="E119" s="158">
        <f>SUM(E108:E118)</f>
        <v>15520</v>
      </c>
      <c r="F119" s="158">
        <f>SUM(F108:F118)</f>
        <v>64940</v>
      </c>
      <c r="G119" s="158">
        <f>SUM(G108:G118)</f>
        <v>103410</v>
      </c>
      <c r="H119" s="52"/>
      <c r="I119" s="52"/>
      <c r="J119" s="50"/>
    </row>
    <row r="120" ht="12.75"/>
    <row r="121" ht="12.75">
      <c r="C121" s="57" t="s">
        <v>372</v>
      </c>
    </row>
    <row r="122" spans="1:11" ht="12.75">
      <c r="A122" s="764" t="s">
        <v>383</v>
      </c>
      <c r="B122" s="764"/>
      <c r="C122" s="764"/>
      <c r="D122" s="764"/>
      <c r="E122" s="14"/>
      <c r="F122" s="14"/>
      <c r="G122" s="14"/>
      <c r="H122" s="53"/>
      <c r="I122" s="53"/>
      <c r="J122" s="53"/>
      <c r="K122" s="53"/>
    </row>
    <row r="123" spans="1:2" ht="12.75">
      <c r="A123" s="53" t="str">
        <f>+A102</f>
        <v>Juris.:</v>
      </c>
      <c r="B123" s="53" t="s">
        <v>36</v>
      </c>
    </row>
    <row r="124" spans="1:2" ht="12.75">
      <c r="A124" s="33" t="s">
        <v>1012</v>
      </c>
      <c r="B124" s="14"/>
    </row>
    <row r="125" ht="12.75"/>
    <row r="126" spans="1:11" ht="12.75">
      <c r="A126" s="157" t="s">
        <v>621</v>
      </c>
      <c r="B126" s="160" t="s">
        <v>996</v>
      </c>
      <c r="C126" s="157" t="s">
        <v>1014</v>
      </c>
      <c r="D126" s="157" t="s">
        <v>87</v>
      </c>
      <c r="E126"/>
      <c r="F126"/>
      <c r="G126"/>
      <c r="H126"/>
      <c r="I126"/>
      <c r="J126"/>
      <c r="K126"/>
    </row>
    <row r="127" spans="1:11" ht="12.75">
      <c r="A127" s="157"/>
      <c r="B127" s="276"/>
      <c r="C127" s="157" t="s">
        <v>1015</v>
      </c>
      <c r="D127" s="157" t="s">
        <v>638</v>
      </c>
      <c r="E127"/>
      <c r="F127" s="564"/>
      <c r="G127"/>
      <c r="H127"/>
      <c r="I127"/>
      <c r="J127"/>
      <c r="K127"/>
    </row>
    <row r="128" spans="1:11" ht="12.75">
      <c r="A128" s="49" t="s">
        <v>995</v>
      </c>
      <c r="E128"/>
      <c r="F128" s="563"/>
      <c r="G128"/>
      <c r="H128"/>
      <c r="I128"/>
      <c r="J128"/>
      <c r="K128"/>
    </row>
    <row r="129" spans="1:11" ht="12.75">
      <c r="A129" s="197" t="s">
        <v>666</v>
      </c>
      <c r="B129" s="200" t="s">
        <v>667</v>
      </c>
      <c r="C129" s="258">
        <f>618730-54740</f>
        <v>563990</v>
      </c>
      <c r="D129" s="158">
        <f aca="true" t="shared" si="5" ref="D129:D142">SUM(C129:C129)</f>
        <v>563990</v>
      </c>
      <c r="E129"/>
      <c r="F129" s="9"/>
      <c r="G129"/>
      <c r="H129"/>
      <c r="I129"/>
      <c r="J129"/>
      <c r="K129"/>
    </row>
    <row r="130" spans="1:11" ht="12.75">
      <c r="A130" s="197" t="s">
        <v>668</v>
      </c>
      <c r="B130" s="200" t="s">
        <v>669</v>
      </c>
      <c r="C130" s="258">
        <f>218030-9720</f>
        <v>208310</v>
      </c>
      <c r="D130" s="158">
        <f t="shared" si="5"/>
        <v>208310</v>
      </c>
      <c r="E130"/>
      <c r="F130" s="9"/>
      <c r="G130"/>
      <c r="H130"/>
      <c r="I130"/>
      <c r="J130"/>
      <c r="K130"/>
    </row>
    <row r="131" spans="1:11" ht="12.75">
      <c r="A131" s="197" t="s">
        <v>670</v>
      </c>
      <c r="B131" s="200" t="s">
        <v>726</v>
      </c>
      <c r="C131" s="258">
        <v>0</v>
      </c>
      <c r="D131" s="158">
        <f t="shared" si="5"/>
        <v>0</v>
      </c>
      <c r="E131"/>
      <c r="F131" s="9"/>
      <c r="G131"/>
      <c r="H131"/>
      <c r="I131"/>
      <c r="J131"/>
      <c r="K131"/>
    </row>
    <row r="132" spans="1:11" ht="12.75">
      <c r="A132" s="197" t="s">
        <v>672</v>
      </c>
      <c r="B132" s="200" t="s">
        <v>671</v>
      </c>
      <c r="C132" s="258">
        <v>0</v>
      </c>
      <c r="D132" s="158">
        <f t="shared" si="5"/>
        <v>0</v>
      </c>
      <c r="E132"/>
      <c r="F132" s="9"/>
      <c r="G132"/>
      <c r="H132"/>
      <c r="I132"/>
      <c r="J132"/>
      <c r="K132"/>
    </row>
    <row r="133" spans="1:11" ht="12.75">
      <c r="A133" s="197" t="s">
        <v>673</v>
      </c>
      <c r="B133" s="200" t="s">
        <v>674</v>
      </c>
      <c r="C133" s="258">
        <f>572430-52890</f>
        <v>519540</v>
      </c>
      <c r="D133" s="158">
        <f t="shared" si="5"/>
        <v>519540</v>
      </c>
      <c r="E133"/>
      <c r="F133" s="9"/>
      <c r="G133"/>
      <c r="H133"/>
      <c r="I133"/>
      <c r="J133"/>
      <c r="K133"/>
    </row>
    <row r="134" spans="1:11" ht="12.75">
      <c r="A134" s="197" t="s">
        <v>675</v>
      </c>
      <c r="B134" s="200" t="s">
        <v>727</v>
      </c>
      <c r="C134" s="258">
        <f>17380-690</f>
        <v>16690</v>
      </c>
      <c r="D134" s="158">
        <f t="shared" si="5"/>
        <v>16690</v>
      </c>
      <c r="E134"/>
      <c r="F134" s="9"/>
      <c r="G134"/>
      <c r="H134"/>
      <c r="I134"/>
      <c r="J134"/>
      <c r="K134"/>
    </row>
    <row r="135" spans="1:11" ht="12.75">
      <c r="A135" s="197" t="s">
        <v>677</v>
      </c>
      <c r="B135" s="200" t="s">
        <v>676</v>
      </c>
      <c r="C135" s="258">
        <f>143190-5720</f>
        <v>137470</v>
      </c>
      <c r="D135" s="158">
        <f t="shared" si="5"/>
        <v>137470</v>
      </c>
      <c r="E135"/>
      <c r="F135" s="9"/>
      <c r="G135"/>
      <c r="H135"/>
      <c r="I135"/>
      <c r="J135"/>
      <c r="K135"/>
    </row>
    <row r="136" spans="1:11" ht="12.75">
      <c r="A136" s="197" t="s">
        <v>679</v>
      </c>
      <c r="B136" s="200" t="s">
        <v>678</v>
      </c>
      <c r="C136" s="258">
        <f>103790-4150</f>
        <v>99640</v>
      </c>
      <c r="D136" s="158">
        <f t="shared" si="5"/>
        <v>99640</v>
      </c>
      <c r="E136"/>
      <c r="F136" s="9"/>
      <c r="G136"/>
      <c r="H136"/>
      <c r="I136"/>
      <c r="J136"/>
      <c r="K136"/>
    </row>
    <row r="137" spans="1:11" ht="12.75">
      <c r="A137" s="197" t="s">
        <v>680</v>
      </c>
      <c r="B137" s="200" t="s">
        <v>728</v>
      </c>
      <c r="C137" s="258">
        <f>115520-8620</f>
        <v>106900</v>
      </c>
      <c r="D137" s="158">
        <f t="shared" si="5"/>
        <v>106900</v>
      </c>
      <c r="E137"/>
      <c r="F137" s="9"/>
      <c r="G137"/>
      <c r="H137"/>
      <c r="I137"/>
      <c r="J137"/>
      <c r="K137"/>
    </row>
    <row r="138" spans="1:11" ht="12.75">
      <c r="A138" s="197" t="s">
        <v>681</v>
      </c>
      <c r="B138" s="200" t="s">
        <v>730</v>
      </c>
      <c r="C138" s="258">
        <f>184170-9360</f>
        <v>174810</v>
      </c>
      <c r="D138" s="158">
        <f t="shared" si="5"/>
        <v>174810</v>
      </c>
      <c r="E138"/>
      <c r="F138" s="9"/>
      <c r="G138"/>
      <c r="H138"/>
      <c r="I138"/>
      <c r="J138"/>
      <c r="K138"/>
    </row>
    <row r="139" spans="1:11" ht="12.75">
      <c r="A139" s="197" t="s">
        <v>725</v>
      </c>
      <c r="B139" s="200" t="s">
        <v>731</v>
      </c>
      <c r="C139" s="258">
        <f>193470-9730</f>
        <v>183740</v>
      </c>
      <c r="D139" s="158">
        <f t="shared" si="5"/>
        <v>183740</v>
      </c>
      <c r="E139"/>
      <c r="F139" s="9"/>
      <c r="G139"/>
      <c r="H139"/>
      <c r="I139"/>
      <c r="J139"/>
      <c r="K139"/>
    </row>
    <row r="140" spans="1:11" ht="12.75">
      <c r="A140" s="197" t="s">
        <v>729</v>
      </c>
      <c r="B140" s="200" t="s">
        <v>732</v>
      </c>
      <c r="C140" s="258">
        <f>77180-9080</f>
        <v>68100</v>
      </c>
      <c r="D140" s="158">
        <f t="shared" si="5"/>
        <v>68100</v>
      </c>
      <c r="E140"/>
      <c r="F140" s="9"/>
      <c r="G140"/>
      <c r="H140"/>
      <c r="I140"/>
      <c r="J140"/>
      <c r="K140"/>
    </row>
    <row r="141" spans="1:11" ht="12.75">
      <c r="A141" s="197" t="s">
        <v>733</v>
      </c>
      <c r="B141" s="200" t="s">
        <v>735</v>
      </c>
      <c r="C141" s="258">
        <f>19180-760</f>
        <v>18420</v>
      </c>
      <c r="D141" s="158">
        <f t="shared" si="5"/>
        <v>18420</v>
      </c>
      <c r="E141"/>
      <c r="F141" s="9"/>
      <c r="G141"/>
      <c r="H141"/>
      <c r="I141"/>
      <c r="J141"/>
      <c r="K141"/>
    </row>
    <row r="142" spans="1:11" ht="12.75">
      <c r="A142" s="197" t="s">
        <v>734</v>
      </c>
      <c r="B142" s="200" t="s">
        <v>736</v>
      </c>
      <c r="C142" s="258">
        <v>0</v>
      </c>
      <c r="D142" s="158">
        <f t="shared" si="5"/>
        <v>0</v>
      </c>
      <c r="E142"/>
      <c r="F142" s="9"/>
      <c r="G142" s="1"/>
      <c r="H142"/>
      <c r="I142"/>
      <c r="J142"/>
      <c r="K142"/>
    </row>
    <row r="143" spans="1:11" ht="12.75">
      <c r="A143" s="159"/>
      <c r="B143" s="160" t="s">
        <v>638</v>
      </c>
      <c r="C143" s="158">
        <f>SUM(C129:C142)</f>
        <v>2097610</v>
      </c>
      <c r="D143" s="158">
        <f>SUM(D129:D142)</f>
        <v>2097610</v>
      </c>
      <c r="E143"/>
      <c r="F143"/>
      <c r="G143"/>
      <c r="H143"/>
      <c r="I143"/>
      <c r="J143"/>
      <c r="K143"/>
    </row>
    <row r="144" spans="9:11" ht="12.75">
      <c r="I144" s="1"/>
      <c r="J144"/>
      <c r="K144"/>
    </row>
    <row r="145" spans="1:11" ht="12.75">
      <c r="A145" s="157" t="s">
        <v>621</v>
      </c>
      <c r="B145" s="160" t="s">
        <v>998</v>
      </c>
      <c r="C145" s="157" t="s">
        <v>1014</v>
      </c>
      <c r="D145" s="157" t="s">
        <v>638</v>
      </c>
      <c r="E145"/>
      <c r="F145"/>
      <c r="G145"/>
      <c r="H145"/>
      <c r="I145"/>
      <c r="J145"/>
      <c r="K145"/>
    </row>
    <row r="146" spans="1:11" ht="12.75">
      <c r="A146" s="157"/>
      <c r="B146" s="276"/>
      <c r="C146" s="157" t="s">
        <v>1015</v>
      </c>
      <c r="D146" s="157"/>
      <c r="E146"/>
      <c r="F146" s="564"/>
      <c r="G146"/>
      <c r="H146"/>
      <c r="I146"/>
      <c r="J146"/>
      <c r="K146"/>
    </row>
    <row r="147" spans="1:11" ht="12.75">
      <c r="A147" s="49" t="s">
        <v>999</v>
      </c>
      <c r="E147"/>
      <c r="F147" s="563"/>
      <c r="G147"/>
      <c r="H147"/>
      <c r="I147"/>
      <c r="J147"/>
      <c r="K147"/>
    </row>
    <row r="148" spans="1:11" ht="12.75">
      <c r="A148" s="197" t="s">
        <v>666</v>
      </c>
      <c r="B148" s="200" t="s">
        <v>667</v>
      </c>
      <c r="C148" s="258">
        <f>37330-1490</f>
        <v>35840</v>
      </c>
      <c r="D148" s="158">
        <f aca="true" t="shared" si="6" ref="D148:D161">SUM(C148:C148)</f>
        <v>35840</v>
      </c>
      <c r="E148"/>
      <c r="F148" s="9"/>
      <c r="G148"/>
      <c r="H148"/>
      <c r="I148"/>
      <c r="J148"/>
      <c r="K148"/>
    </row>
    <row r="149" spans="1:11" ht="12.75">
      <c r="A149" s="197" t="s">
        <v>668</v>
      </c>
      <c r="B149" s="200" t="s">
        <v>669</v>
      </c>
      <c r="C149" s="258">
        <f>1500-60</f>
        <v>1440</v>
      </c>
      <c r="D149" s="158">
        <f t="shared" si="6"/>
        <v>1440</v>
      </c>
      <c r="E149"/>
      <c r="F149" s="9"/>
      <c r="G149"/>
      <c r="H149"/>
      <c r="I149"/>
      <c r="J149"/>
      <c r="K149"/>
    </row>
    <row r="150" spans="1:11" ht="12.75">
      <c r="A150" s="197" t="s">
        <v>670</v>
      </c>
      <c r="B150" s="200" t="s">
        <v>726</v>
      </c>
      <c r="C150" s="258">
        <v>0</v>
      </c>
      <c r="D150" s="158">
        <f t="shared" si="6"/>
        <v>0</v>
      </c>
      <c r="E150"/>
      <c r="F150" s="9"/>
      <c r="G150"/>
      <c r="H150"/>
      <c r="I150"/>
      <c r="J150"/>
      <c r="K150"/>
    </row>
    <row r="151" spans="1:11" ht="12.75">
      <c r="A151" s="197" t="s">
        <v>672</v>
      </c>
      <c r="B151" s="200" t="s">
        <v>671</v>
      </c>
      <c r="C151" s="258">
        <v>0</v>
      </c>
      <c r="D151" s="158">
        <f t="shared" si="6"/>
        <v>0</v>
      </c>
      <c r="E151"/>
      <c r="F151" s="9"/>
      <c r="G151"/>
      <c r="H151"/>
      <c r="I151"/>
      <c r="J151"/>
      <c r="K151"/>
    </row>
    <row r="152" spans="1:11" ht="12.75">
      <c r="A152" s="197" t="s">
        <v>673</v>
      </c>
      <c r="B152" s="200" t="s">
        <v>674</v>
      </c>
      <c r="C152" s="258">
        <f>24780-990</f>
        <v>23790</v>
      </c>
      <c r="D152" s="158">
        <f t="shared" si="6"/>
        <v>23790</v>
      </c>
      <c r="E152"/>
      <c r="F152" s="9"/>
      <c r="G152"/>
      <c r="H152"/>
      <c r="I152"/>
      <c r="J152"/>
      <c r="K152"/>
    </row>
    <row r="153" spans="1:11" ht="12.75">
      <c r="A153" s="197" t="s">
        <v>675</v>
      </c>
      <c r="B153" s="200" t="s">
        <v>727</v>
      </c>
      <c r="C153" s="258">
        <v>0</v>
      </c>
      <c r="D153" s="158">
        <f t="shared" si="6"/>
        <v>0</v>
      </c>
      <c r="E153"/>
      <c r="F153" s="9"/>
      <c r="G153"/>
      <c r="H153"/>
      <c r="I153"/>
      <c r="J153"/>
      <c r="K153"/>
    </row>
    <row r="154" spans="1:11" ht="12.75">
      <c r="A154" s="197" t="s">
        <v>677</v>
      </c>
      <c r="B154" s="200" t="s">
        <v>676</v>
      </c>
      <c r="C154" s="258">
        <f>10280-410</f>
        <v>9870</v>
      </c>
      <c r="D154" s="158">
        <f t="shared" si="6"/>
        <v>9870</v>
      </c>
      <c r="E154"/>
      <c r="F154" s="9"/>
      <c r="G154"/>
      <c r="H154"/>
      <c r="I154"/>
      <c r="J154"/>
      <c r="K154"/>
    </row>
    <row r="155" spans="1:11" ht="12.75">
      <c r="A155" s="197" t="s">
        <v>679</v>
      </c>
      <c r="B155" s="200" t="s">
        <v>678</v>
      </c>
      <c r="C155" s="258">
        <f>17460-690</f>
        <v>16770</v>
      </c>
      <c r="D155" s="158">
        <f t="shared" si="6"/>
        <v>16770</v>
      </c>
      <c r="E155"/>
      <c r="F155" s="9"/>
      <c r="G155"/>
      <c r="H155"/>
      <c r="I155"/>
      <c r="J155"/>
      <c r="K155"/>
    </row>
    <row r="156" spans="1:11" ht="12.75">
      <c r="A156" s="197" t="s">
        <v>680</v>
      </c>
      <c r="B156" s="200" t="s">
        <v>728</v>
      </c>
      <c r="C156" s="258">
        <f>3570-140</f>
        <v>3430</v>
      </c>
      <c r="D156" s="158">
        <f t="shared" si="6"/>
        <v>3430</v>
      </c>
      <c r="E156"/>
      <c r="F156" s="9"/>
      <c r="G156"/>
      <c r="H156"/>
      <c r="I156"/>
      <c r="J156"/>
      <c r="K156"/>
    </row>
    <row r="157" spans="1:11" ht="12.75">
      <c r="A157" s="197" t="s">
        <v>681</v>
      </c>
      <c r="B157" s="200" t="s">
        <v>730</v>
      </c>
      <c r="C157" s="258">
        <f>23550-940</f>
        <v>22610</v>
      </c>
      <c r="D157" s="158">
        <f t="shared" si="6"/>
        <v>22610</v>
      </c>
      <c r="E157"/>
      <c r="F157" s="9"/>
      <c r="G157"/>
      <c r="H157"/>
      <c r="I157"/>
      <c r="J157"/>
      <c r="K157"/>
    </row>
    <row r="158" spans="1:11" ht="12.75">
      <c r="A158" s="197" t="s">
        <v>725</v>
      </c>
      <c r="B158" s="200" t="s">
        <v>731</v>
      </c>
      <c r="C158" s="258">
        <f>12590-500</f>
        <v>12090</v>
      </c>
      <c r="D158" s="158">
        <f t="shared" si="6"/>
        <v>12090</v>
      </c>
      <c r="E158"/>
      <c r="F158" s="9"/>
      <c r="G158"/>
      <c r="H158"/>
      <c r="I158"/>
      <c r="J158"/>
      <c r="K158"/>
    </row>
    <row r="159" spans="1:11" ht="12.75">
      <c r="A159" s="197" t="s">
        <v>729</v>
      </c>
      <c r="B159" s="200" t="s">
        <v>732</v>
      </c>
      <c r="C159" s="258">
        <f>7340-290</f>
        <v>7050</v>
      </c>
      <c r="D159" s="158">
        <f t="shared" si="6"/>
        <v>7050</v>
      </c>
      <c r="E159"/>
      <c r="F159" s="9"/>
      <c r="G159"/>
      <c r="H159"/>
      <c r="I159"/>
      <c r="J159"/>
      <c r="K159"/>
    </row>
    <row r="160" spans="1:11" ht="12.75">
      <c r="A160" s="197" t="s">
        <v>733</v>
      </c>
      <c r="B160" s="200" t="s">
        <v>735</v>
      </c>
      <c r="C160" s="258">
        <f>1660-60</f>
        <v>1600</v>
      </c>
      <c r="D160" s="158">
        <f t="shared" si="6"/>
        <v>1600</v>
      </c>
      <c r="E160"/>
      <c r="F160" s="9"/>
      <c r="G160"/>
      <c r="H160"/>
      <c r="I160"/>
      <c r="J160"/>
      <c r="K160"/>
    </row>
    <row r="161" spans="1:11" ht="12.75">
      <c r="A161" s="197" t="s">
        <v>734</v>
      </c>
      <c r="B161" s="200" t="s">
        <v>736</v>
      </c>
      <c r="C161" s="258">
        <v>0</v>
      </c>
      <c r="D161" s="158">
        <f t="shared" si="6"/>
        <v>0</v>
      </c>
      <c r="E161"/>
      <c r="F161" s="9"/>
      <c r="G161" s="1"/>
      <c r="H161"/>
      <c r="I161"/>
      <c r="J161"/>
      <c r="K161"/>
    </row>
    <row r="162" spans="1:11" ht="12.75">
      <c r="A162" s="159"/>
      <c r="B162" s="160" t="s">
        <v>638</v>
      </c>
      <c r="C162" s="158">
        <f>SUM(C148:C161)</f>
        <v>134490</v>
      </c>
      <c r="D162" s="158">
        <f>SUM(D148:D161)</f>
        <v>134490</v>
      </c>
      <c r="E162" s="1"/>
      <c r="F162" s="9"/>
      <c r="G162"/>
      <c r="H162"/>
      <c r="I162"/>
      <c r="J162"/>
      <c r="K162"/>
    </row>
    <row r="163" spans="1:6" ht="12.75">
      <c r="A163" s="100" t="s">
        <v>384</v>
      </c>
      <c r="F163" s="9"/>
    </row>
    <row r="164" ht="12.75"/>
    <row r="165" ht="12.75">
      <c r="C165" s="57" t="s">
        <v>373</v>
      </c>
    </row>
    <row r="166" spans="1:11" ht="12.75">
      <c r="A166" s="764" t="s">
        <v>383</v>
      </c>
      <c r="B166" s="764"/>
      <c r="C166" s="764"/>
      <c r="D166" s="764"/>
      <c r="E166" s="14"/>
      <c r="F166" s="14"/>
      <c r="G166" s="14"/>
      <c r="H166" s="53"/>
      <c r="I166" s="53"/>
      <c r="J166" s="53"/>
      <c r="K166" s="53"/>
    </row>
    <row r="167" spans="1:2" ht="12.75">
      <c r="A167" s="33" t="str">
        <f>+A123</f>
        <v>Juris.:</v>
      </c>
      <c r="B167" s="53" t="str">
        <f>+B123</f>
        <v>DIRECCION DE INSPECCIÓN GENERAL Y FISCALIZACION</v>
      </c>
    </row>
    <row r="168" spans="1:2" ht="12.75">
      <c r="A168" s="33" t="s">
        <v>1012</v>
      </c>
      <c r="B168" s="14"/>
    </row>
    <row r="169" ht="12.75"/>
    <row r="170" spans="1:11" ht="12.75">
      <c r="A170" s="157" t="s">
        <v>621</v>
      </c>
      <c r="B170" s="160" t="s">
        <v>1001</v>
      </c>
      <c r="C170" s="157" t="s">
        <v>1014</v>
      </c>
      <c r="D170" s="157" t="s">
        <v>638</v>
      </c>
      <c r="E170"/>
      <c r="F170"/>
      <c r="G170"/>
      <c r="H170"/>
      <c r="I170"/>
      <c r="J170"/>
      <c r="K170"/>
    </row>
    <row r="171" spans="1:11" ht="12.75">
      <c r="A171" s="157"/>
      <c r="B171" s="276"/>
      <c r="C171" s="157" t="s">
        <v>1015</v>
      </c>
      <c r="D171" s="157"/>
      <c r="E171"/>
      <c r="F171" s="564"/>
      <c r="G171"/>
      <c r="H171"/>
      <c r="I171"/>
      <c r="J171"/>
      <c r="K171"/>
    </row>
    <row r="172" spans="1:11" ht="12.75">
      <c r="A172" s="49" t="s">
        <v>1000</v>
      </c>
      <c r="E172"/>
      <c r="F172" s="563"/>
      <c r="G172"/>
      <c r="H172"/>
      <c r="I172"/>
      <c r="J172"/>
      <c r="K172"/>
    </row>
    <row r="173" spans="1:11" ht="12.75">
      <c r="A173" s="193">
        <v>1</v>
      </c>
      <c r="B173" s="200" t="s">
        <v>834</v>
      </c>
      <c r="C173" s="258">
        <f>8100-1290</f>
        <v>6810</v>
      </c>
      <c r="D173" s="158">
        <f aca="true" t="shared" si="7" ref="D173:D191">SUM(C173:C173)</f>
        <v>6810</v>
      </c>
      <c r="E173"/>
      <c r="F173" s="9"/>
      <c r="G173"/>
      <c r="H173"/>
      <c r="I173"/>
      <c r="J173"/>
      <c r="K173"/>
    </row>
    <row r="174" spans="1:11" ht="12.75">
      <c r="A174" s="193">
        <v>2</v>
      </c>
      <c r="B174" s="200" t="s">
        <v>835</v>
      </c>
      <c r="C174" s="258"/>
      <c r="D174" s="158">
        <f t="shared" si="7"/>
        <v>0</v>
      </c>
      <c r="E174"/>
      <c r="F174" s="9"/>
      <c r="G174"/>
      <c r="H174"/>
      <c r="I174"/>
      <c r="J174"/>
      <c r="K174"/>
    </row>
    <row r="175" spans="1:11" ht="12.75">
      <c r="A175" s="193">
        <v>3</v>
      </c>
      <c r="B175" s="200" t="s">
        <v>836</v>
      </c>
      <c r="C175" s="258"/>
      <c r="D175" s="158">
        <f t="shared" si="7"/>
        <v>0</v>
      </c>
      <c r="E175"/>
      <c r="F175" s="9"/>
      <c r="G175"/>
      <c r="H175"/>
      <c r="I175"/>
      <c r="J175"/>
      <c r="K175"/>
    </row>
    <row r="176" spans="1:11" ht="12.75">
      <c r="A176" s="193">
        <v>4</v>
      </c>
      <c r="B176" s="200" t="s">
        <v>837</v>
      </c>
      <c r="C176" s="258">
        <f>26760-4280</f>
        <v>22480</v>
      </c>
      <c r="D176" s="158">
        <f t="shared" si="7"/>
        <v>22480</v>
      </c>
      <c r="E176"/>
      <c r="F176" s="9"/>
      <c r="G176"/>
      <c r="H176"/>
      <c r="I176"/>
      <c r="J176"/>
      <c r="K176"/>
    </row>
    <row r="177" spans="1:11" ht="12.75">
      <c r="A177" s="193">
        <v>5</v>
      </c>
      <c r="B177" s="200" t="s">
        <v>838</v>
      </c>
      <c r="C177" s="258">
        <f>29210-4670-20000</f>
        <v>4540</v>
      </c>
      <c r="D177" s="158">
        <f t="shared" si="7"/>
        <v>4540</v>
      </c>
      <c r="E177"/>
      <c r="F177" s="9"/>
      <c r="G177"/>
      <c r="H177"/>
      <c r="I177"/>
      <c r="J177"/>
      <c r="K177"/>
    </row>
    <row r="178" spans="1:11" ht="12.75">
      <c r="A178" s="193">
        <v>6</v>
      </c>
      <c r="B178" s="200" t="s">
        <v>839</v>
      </c>
      <c r="C178" s="258"/>
      <c r="D178" s="158">
        <f t="shared" si="7"/>
        <v>0</v>
      </c>
      <c r="E178"/>
      <c r="F178" s="9"/>
      <c r="G178"/>
      <c r="H178"/>
      <c r="I178"/>
      <c r="J178"/>
      <c r="K178"/>
    </row>
    <row r="179" spans="1:11" ht="12.75">
      <c r="A179" s="193">
        <v>7</v>
      </c>
      <c r="B179" s="200" t="s">
        <v>840</v>
      </c>
      <c r="C179" s="258">
        <f>13980-2230</f>
        <v>11750</v>
      </c>
      <c r="D179" s="158">
        <f t="shared" si="7"/>
        <v>11750</v>
      </c>
      <c r="E179"/>
      <c r="F179" s="9"/>
      <c r="G179"/>
      <c r="H179"/>
      <c r="I179"/>
      <c r="J179"/>
      <c r="K179"/>
    </row>
    <row r="180" spans="1:11" ht="12.75">
      <c r="A180" s="193">
        <v>8</v>
      </c>
      <c r="B180" s="200" t="s">
        <v>842</v>
      </c>
      <c r="C180" s="258">
        <f>19200-3070</f>
        <v>16130</v>
      </c>
      <c r="D180" s="158">
        <f t="shared" si="7"/>
        <v>16130</v>
      </c>
      <c r="E180"/>
      <c r="F180" s="9"/>
      <c r="G180"/>
      <c r="H180"/>
      <c r="I180"/>
      <c r="J180"/>
      <c r="K180"/>
    </row>
    <row r="181" spans="1:11" ht="12.75">
      <c r="A181" s="193">
        <v>9</v>
      </c>
      <c r="B181" s="200" t="s">
        <v>843</v>
      </c>
      <c r="C181" s="258">
        <f>100-10</f>
        <v>90</v>
      </c>
      <c r="D181" s="158">
        <f t="shared" si="7"/>
        <v>90</v>
      </c>
      <c r="E181"/>
      <c r="F181" s="9"/>
      <c r="G181"/>
      <c r="H181"/>
      <c r="I181"/>
      <c r="J181"/>
      <c r="K181"/>
    </row>
    <row r="182" spans="1:11" ht="12.75">
      <c r="A182" s="193">
        <v>10</v>
      </c>
      <c r="B182" s="200" t="s">
        <v>844</v>
      </c>
      <c r="C182" s="258"/>
      <c r="D182" s="158">
        <f t="shared" si="7"/>
        <v>0</v>
      </c>
      <c r="E182"/>
      <c r="F182" s="9"/>
      <c r="G182"/>
      <c r="H182"/>
      <c r="I182"/>
      <c r="J182"/>
      <c r="K182"/>
    </row>
    <row r="183" spans="1:11" ht="12.75">
      <c r="A183" s="193">
        <v>11</v>
      </c>
      <c r="B183" s="200" t="s">
        <v>845</v>
      </c>
      <c r="C183" s="258">
        <f>16100-2570-3000</f>
        <v>10530</v>
      </c>
      <c r="D183" s="158">
        <f t="shared" si="7"/>
        <v>10530</v>
      </c>
      <c r="E183"/>
      <c r="F183" s="9"/>
      <c r="G183"/>
      <c r="H183"/>
      <c r="I183"/>
      <c r="J183"/>
      <c r="K183"/>
    </row>
    <row r="184" spans="1:11" ht="12.75">
      <c r="A184" s="193">
        <v>12</v>
      </c>
      <c r="B184" s="200" t="s">
        <v>846</v>
      </c>
      <c r="C184" s="258"/>
      <c r="D184" s="158">
        <f t="shared" si="7"/>
        <v>0</v>
      </c>
      <c r="E184"/>
      <c r="F184" s="9"/>
      <c r="G184"/>
      <c r="H184"/>
      <c r="I184"/>
      <c r="J184"/>
      <c r="K184"/>
    </row>
    <row r="185" spans="1:11" ht="12.75">
      <c r="A185" s="193">
        <v>13</v>
      </c>
      <c r="B185" s="200" t="s">
        <v>847</v>
      </c>
      <c r="C185" s="258"/>
      <c r="D185" s="158">
        <f t="shared" si="7"/>
        <v>0</v>
      </c>
      <c r="E185"/>
      <c r="F185" s="9"/>
      <c r="G185"/>
      <c r="H185"/>
      <c r="I185"/>
      <c r="J185"/>
      <c r="K185"/>
    </row>
    <row r="186" spans="1:11" ht="12.75">
      <c r="A186" s="193">
        <v>14</v>
      </c>
      <c r="B186" s="200" t="s">
        <v>848</v>
      </c>
      <c r="C186" s="258"/>
      <c r="D186" s="158">
        <f t="shared" si="7"/>
        <v>0</v>
      </c>
      <c r="E186"/>
      <c r="F186" s="9"/>
      <c r="G186"/>
      <c r="H186"/>
      <c r="I186"/>
      <c r="J186"/>
      <c r="K186"/>
    </row>
    <row r="187" spans="1:11" ht="12.75">
      <c r="A187" s="193">
        <v>15</v>
      </c>
      <c r="B187" s="200" t="s">
        <v>849</v>
      </c>
      <c r="C187" s="258">
        <f>9360-1490</f>
        <v>7870</v>
      </c>
      <c r="D187" s="158">
        <f t="shared" si="7"/>
        <v>7870</v>
      </c>
      <c r="E187"/>
      <c r="F187" s="9"/>
      <c r="G187"/>
      <c r="H187"/>
      <c r="I187"/>
      <c r="J187"/>
      <c r="K187"/>
    </row>
    <row r="188" spans="1:11" ht="12.75">
      <c r="A188" s="193">
        <v>16</v>
      </c>
      <c r="B188" s="200" t="s">
        <v>850</v>
      </c>
      <c r="C188" s="258"/>
      <c r="D188" s="158">
        <f t="shared" si="7"/>
        <v>0</v>
      </c>
      <c r="E188"/>
      <c r="F188" s="9"/>
      <c r="G188"/>
      <c r="H188"/>
      <c r="I188"/>
      <c r="J188"/>
      <c r="K188"/>
    </row>
    <row r="189" spans="1:11" ht="12.75">
      <c r="A189" s="193">
        <v>17</v>
      </c>
      <c r="B189" s="200" t="s">
        <v>851</v>
      </c>
      <c r="C189" s="258"/>
      <c r="D189" s="158">
        <f t="shared" si="7"/>
        <v>0</v>
      </c>
      <c r="E189"/>
      <c r="F189" s="9"/>
      <c r="G189"/>
      <c r="H189"/>
      <c r="I189"/>
      <c r="J189"/>
      <c r="K189"/>
    </row>
    <row r="190" spans="1:11" ht="12.75">
      <c r="A190" s="193">
        <v>18</v>
      </c>
      <c r="B190" s="200" t="s">
        <v>852</v>
      </c>
      <c r="C190" s="258"/>
      <c r="D190" s="158">
        <f t="shared" si="7"/>
        <v>0</v>
      </c>
      <c r="E190"/>
      <c r="F190" s="9"/>
      <c r="G190"/>
      <c r="H190"/>
      <c r="I190"/>
      <c r="J190"/>
      <c r="K190"/>
    </row>
    <row r="191" spans="1:11" ht="12.75">
      <c r="A191" s="193">
        <v>19</v>
      </c>
      <c r="B191" s="200" t="s">
        <v>853</v>
      </c>
      <c r="C191" s="258"/>
      <c r="D191" s="158">
        <f t="shared" si="7"/>
        <v>0</v>
      </c>
      <c r="E191"/>
      <c r="F191" s="9"/>
      <c r="G191"/>
      <c r="H191"/>
      <c r="I191"/>
      <c r="J191"/>
      <c r="K191"/>
    </row>
    <row r="192" spans="1:11" ht="12.75">
      <c r="A192" s="159"/>
      <c r="B192" s="160" t="s">
        <v>638</v>
      </c>
      <c r="C192" s="158">
        <f>SUM(C173:C191)</f>
        <v>80200</v>
      </c>
      <c r="D192" s="158">
        <f>SUM(D173:D191)</f>
        <v>80200</v>
      </c>
      <c r="E192"/>
      <c r="F192"/>
      <c r="G192"/>
      <c r="H192"/>
      <c r="I192"/>
      <c r="J192"/>
      <c r="K192"/>
    </row>
    <row r="193" spans="9:11" ht="12.75">
      <c r="I193"/>
      <c r="J193"/>
      <c r="K193"/>
    </row>
    <row r="194" spans="1:11" ht="12.75">
      <c r="A194" s="157" t="s">
        <v>621</v>
      </c>
      <c r="B194" s="160" t="s">
        <v>990</v>
      </c>
      <c r="C194" s="157" t="s">
        <v>1014</v>
      </c>
      <c r="D194" s="157" t="s">
        <v>638</v>
      </c>
      <c r="E194"/>
      <c r="F194"/>
      <c r="G194"/>
      <c r="H194"/>
      <c r="I194"/>
      <c r="J194"/>
      <c r="K194"/>
    </row>
    <row r="195" spans="1:11" ht="12.75">
      <c r="A195" s="157"/>
      <c r="B195" s="276"/>
      <c r="C195" s="157" t="s">
        <v>1015</v>
      </c>
      <c r="D195" s="157"/>
      <c r="E195"/>
      <c r="F195" s="564"/>
      <c r="G195"/>
      <c r="H195"/>
      <c r="I195"/>
      <c r="J195"/>
      <c r="K195"/>
    </row>
    <row r="196" spans="1:11" ht="12.75">
      <c r="A196" s="49" t="s">
        <v>1002</v>
      </c>
      <c r="E196"/>
      <c r="F196" s="563"/>
      <c r="G196"/>
      <c r="H196"/>
      <c r="I196"/>
      <c r="J196"/>
      <c r="K196"/>
    </row>
    <row r="197" spans="1:11" ht="12.75">
      <c r="A197" s="193">
        <v>1</v>
      </c>
      <c r="B197" s="200" t="s">
        <v>854</v>
      </c>
      <c r="C197" s="258"/>
      <c r="D197" s="158">
        <f aca="true" t="shared" si="8" ref="D197:D218">SUM(C197:C197)</f>
        <v>0</v>
      </c>
      <c r="E197"/>
      <c r="F197" s="9"/>
      <c r="G197"/>
      <c r="H197"/>
      <c r="I197"/>
      <c r="J197"/>
      <c r="K197"/>
    </row>
    <row r="198" spans="1:11" ht="12.75">
      <c r="A198" s="193">
        <v>2</v>
      </c>
      <c r="B198" s="200" t="s">
        <v>855</v>
      </c>
      <c r="C198" s="258"/>
      <c r="D198" s="158">
        <f t="shared" si="8"/>
        <v>0</v>
      </c>
      <c r="E198"/>
      <c r="F198" s="9"/>
      <c r="G198"/>
      <c r="H198"/>
      <c r="I198"/>
      <c r="J198"/>
      <c r="K198"/>
    </row>
    <row r="199" spans="1:11" ht="12.75">
      <c r="A199" s="193">
        <v>3</v>
      </c>
      <c r="B199" s="200" t="s">
        <v>856</v>
      </c>
      <c r="C199" s="258"/>
      <c r="D199" s="158">
        <f t="shared" si="8"/>
        <v>0</v>
      </c>
      <c r="E199"/>
      <c r="F199" s="9"/>
      <c r="G199"/>
      <c r="H199"/>
      <c r="I199"/>
      <c r="J199"/>
      <c r="K199"/>
    </row>
    <row r="200" spans="1:11" ht="12.75">
      <c r="A200" s="193">
        <v>4</v>
      </c>
      <c r="B200" s="200" t="s">
        <v>857</v>
      </c>
      <c r="C200" s="258"/>
      <c r="D200" s="158">
        <f t="shared" si="8"/>
        <v>0</v>
      </c>
      <c r="E200"/>
      <c r="F200" s="9"/>
      <c r="G200"/>
      <c r="H200"/>
      <c r="I200"/>
      <c r="J200"/>
      <c r="K200"/>
    </row>
    <row r="201" spans="1:11" ht="12.75">
      <c r="A201" s="193">
        <v>5</v>
      </c>
      <c r="B201" s="200" t="s">
        <v>858</v>
      </c>
      <c r="C201" s="258">
        <f>11000-1760-2700</f>
        <v>6540</v>
      </c>
      <c r="D201" s="158">
        <f t="shared" si="8"/>
        <v>6540</v>
      </c>
      <c r="E201"/>
      <c r="F201" s="9"/>
      <c r="G201"/>
      <c r="H201"/>
      <c r="I201"/>
      <c r="J201"/>
      <c r="K201"/>
    </row>
    <row r="202" spans="1:11" ht="12.75">
      <c r="A202" s="193">
        <v>6</v>
      </c>
      <c r="B202" s="200" t="s">
        <v>859</v>
      </c>
      <c r="C202" s="258"/>
      <c r="D202" s="158">
        <f t="shared" si="8"/>
        <v>0</v>
      </c>
      <c r="E202"/>
      <c r="F202" s="9"/>
      <c r="G202"/>
      <c r="H202"/>
      <c r="I202"/>
      <c r="J202"/>
      <c r="K202"/>
    </row>
    <row r="203" spans="1:11" ht="12.75">
      <c r="A203" s="193">
        <v>7</v>
      </c>
      <c r="B203" s="200" t="s">
        <v>860</v>
      </c>
      <c r="C203" s="258">
        <f>64000-10240-10000</f>
        <v>43760</v>
      </c>
      <c r="D203" s="158">
        <f t="shared" si="8"/>
        <v>43760</v>
      </c>
      <c r="E203"/>
      <c r="F203" s="9"/>
      <c r="G203"/>
      <c r="H203"/>
      <c r="I203"/>
      <c r="J203"/>
      <c r="K203"/>
    </row>
    <row r="204" spans="1:11" ht="12.75">
      <c r="A204" s="193">
        <v>8</v>
      </c>
      <c r="B204" s="200" t="s">
        <v>861</v>
      </c>
      <c r="C204" s="258"/>
      <c r="D204" s="158">
        <f t="shared" si="8"/>
        <v>0</v>
      </c>
      <c r="E204"/>
      <c r="F204" s="9"/>
      <c r="G204"/>
      <c r="H204"/>
      <c r="I204"/>
      <c r="J204"/>
      <c r="K204"/>
    </row>
    <row r="205" spans="1:11" ht="12.75">
      <c r="A205" s="193">
        <v>9</v>
      </c>
      <c r="B205" s="200" t="s">
        <v>862</v>
      </c>
      <c r="C205" s="258">
        <f>3150-500</f>
        <v>2650</v>
      </c>
      <c r="D205" s="158">
        <f t="shared" si="8"/>
        <v>2650</v>
      </c>
      <c r="E205"/>
      <c r="F205" s="9"/>
      <c r="G205"/>
      <c r="H205"/>
      <c r="I205"/>
      <c r="J205"/>
      <c r="K205"/>
    </row>
    <row r="206" spans="1:11" ht="12.75">
      <c r="A206" s="193">
        <v>10</v>
      </c>
      <c r="B206" s="200" t="s">
        <v>863</v>
      </c>
      <c r="C206" s="258"/>
      <c r="D206" s="158">
        <f t="shared" si="8"/>
        <v>0</v>
      </c>
      <c r="E206"/>
      <c r="F206" s="9"/>
      <c r="G206"/>
      <c r="H206"/>
      <c r="I206"/>
      <c r="J206"/>
      <c r="K206"/>
    </row>
    <row r="207" spans="1:11" ht="12.75">
      <c r="A207" s="193">
        <v>11</v>
      </c>
      <c r="B207" s="200" t="s">
        <v>864</v>
      </c>
      <c r="C207" s="258"/>
      <c r="D207" s="158">
        <f t="shared" si="8"/>
        <v>0</v>
      </c>
      <c r="E207"/>
      <c r="F207" s="9"/>
      <c r="G207"/>
      <c r="H207"/>
      <c r="I207"/>
      <c r="J207"/>
      <c r="K207"/>
    </row>
    <row r="208" spans="1:11" ht="12.75">
      <c r="A208" s="193">
        <v>12</v>
      </c>
      <c r="B208" s="200" t="s">
        <v>865</v>
      </c>
      <c r="C208" s="258"/>
      <c r="D208" s="158">
        <f t="shared" si="8"/>
        <v>0</v>
      </c>
      <c r="E208"/>
      <c r="F208" s="9"/>
      <c r="G208"/>
      <c r="H208"/>
      <c r="I208"/>
      <c r="J208"/>
      <c r="K208"/>
    </row>
    <row r="209" spans="1:11" ht="12.75">
      <c r="A209" s="193">
        <v>13</v>
      </c>
      <c r="B209" s="200" t="s">
        <v>866</v>
      </c>
      <c r="C209" s="258"/>
      <c r="D209" s="158">
        <f t="shared" si="8"/>
        <v>0</v>
      </c>
      <c r="E209"/>
      <c r="F209" s="9"/>
      <c r="G209"/>
      <c r="H209"/>
      <c r="I209"/>
      <c r="J209"/>
      <c r="K209"/>
    </row>
    <row r="210" spans="1:11" ht="12.75">
      <c r="A210" s="193">
        <v>14</v>
      </c>
      <c r="B210" s="200" t="s">
        <v>867</v>
      </c>
      <c r="C210" s="258">
        <f>6000-960</f>
        <v>5040</v>
      </c>
      <c r="D210" s="158">
        <f t="shared" si="8"/>
        <v>5040</v>
      </c>
      <c r="E210"/>
      <c r="F210" s="9"/>
      <c r="G210"/>
      <c r="H210"/>
      <c r="I210"/>
      <c r="J210"/>
      <c r="K210"/>
    </row>
    <row r="211" spans="1:11" ht="12.75">
      <c r="A211" s="193">
        <v>15</v>
      </c>
      <c r="B211" s="200" t="s">
        <v>868</v>
      </c>
      <c r="C211" s="258"/>
      <c r="D211" s="158">
        <f t="shared" si="8"/>
        <v>0</v>
      </c>
      <c r="E211"/>
      <c r="F211" s="9"/>
      <c r="G211"/>
      <c r="H211"/>
      <c r="I211"/>
      <c r="J211"/>
      <c r="K211"/>
    </row>
    <row r="212" spans="1:11" ht="12.75">
      <c r="A212" s="193">
        <v>16</v>
      </c>
      <c r="B212" s="200" t="s">
        <v>869</v>
      </c>
      <c r="C212" s="258"/>
      <c r="D212" s="158">
        <f t="shared" si="8"/>
        <v>0</v>
      </c>
      <c r="E212"/>
      <c r="F212" s="9"/>
      <c r="G212"/>
      <c r="H212"/>
      <c r="I212"/>
      <c r="J212"/>
      <c r="K212"/>
    </row>
    <row r="213" spans="1:11" ht="12.75">
      <c r="A213" s="193">
        <v>17</v>
      </c>
      <c r="B213" s="200" t="s">
        <v>870</v>
      </c>
      <c r="C213" s="258">
        <f>2200-350</f>
        <v>1850</v>
      </c>
      <c r="D213" s="158">
        <f t="shared" si="8"/>
        <v>1850</v>
      </c>
      <c r="E213"/>
      <c r="F213" s="9"/>
      <c r="G213"/>
      <c r="H213"/>
      <c r="I213"/>
      <c r="J213"/>
      <c r="K213"/>
    </row>
    <row r="214" spans="1:11" ht="12.75">
      <c r="A214" s="193">
        <v>18</v>
      </c>
      <c r="B214" s="200" t="s">
        <v>871</v>
      </c>
      <c r="C214" s="258"/>
      <c r="D214" s="158">
        <f t="shared" si="8"/>
        <v>0</v>
      </c>
      <c r="E214"/>
      <c r="F214" s="9"/>
      <c r="G214"/>
      <c r="H214"/>
      <c r="I214"/>
      <c r="J214"/>
      <c r="K214"/>
    </row>
    <row r="215" spans="1:11" ht="12.75">
      <c r="A215" s="193">
        <v>19</v>
      </c>
      <c r="B215" s="200" t="s">
        <v>872</v>
      </c>
      <c r="C215" s="258"/>
      <c r="D215" s="158">
        <f t="shared" si="8"/>
        <v>0</v>
      </c>
      <c r="E215"/>
      <c r="F215" s="9"/>
      <c r="G215"/>
      <c r="H215"/>
      <c r="I215"/>
      <c r="J215"/>
      <c r="K215"/>
    </row>
    <row r="216" spans="1:11" ht="12.75">
      <c r="A216" s="193">
        <v>20</v>
      </c>
      <c r="B216" s="200" t="s">
        <v>873</v>
      </c>
      <c r="C216" s="258"/>
      <c r="D216" s="158">
        <f t="shared" si="8"/>
        <v>0</v>
      </c>
      <c r="E216"/>
      <c r="F216" s="9"/>
      <c r="G216"/>
      <c r="H216"/>
      <c r="I216"/>
      <c r="J216"/>
      <c r="K216"/>
    </row>
    <row r="217" spans="1:11" ht="12.75">
      <c r="A217" s="193">
        <v>21</v>
      </c>
      <c r="B217" s="200" t="s">
        <v>874</v>
      </c>
      <c r="C217" s="258">
        <f>7600-1210</f>
        <v>6390</v>
      </c>
      <c r="D217" s="158">
        <f t="shared" si="8"/>
        <v>6390</v>
      </c>
      <c r="E217"/>
      <c r="F217" s="9"/>
      <c r="G217"/>
      <c r="H217"/>
      <c r="I217"/>
      <c r="J217"/>
      <c r="K217"/>
    </row>
    <row r="218" spans="1:11" ht="12.75">
      <c r="A218" s="193" t="s">
        <v>106</v>
      </c>
      <c r="B218" s="200" t="s">
        <v>107</v>
      </c>
      <c r="C218" s="258">
        <f>105600-16890-10000</f>
        <v>78710</v>
      </c>
      <c r="D218" s="158">
        <f t="shared" si="8"/>
        <v>78710</v>
      </c>
      <c r="E218"/>
      <c r="F218" s="9"/>
      <c r="G218"/>
      <c r="H218"/>
      <c r="I218"/>
      <c r="J218"/>
      <c r="K218"/>
    </row>
    <row r="219" spans="1:11" ht="12.75">
      <c r="A219" s="159"/>
      <c r="B219" s="160" t="s">
        <v>638</v>
      </c>
      <c r="C219" s="158">
        <f>SUM(C197:C218)</f>
        <v>144940</v>
      </c>
      <c r="D219" s="158">
        <f>SUM(D197:D218)</f>
        <v>144940</v>
      </c>
      <c r="E219"/>
      <c r="F219"/>
      <c r="G219"/>
      <c r="H219"/>
      <c r="I219"/>
      <c r="J219"/>
      <c r="K219"/>
    </row>
    <row r="220" ht="12.75"/>
    <row r="221" ht="12.75">
      <c r="C221" s="57" t="s">
        <v>372</v>
      </c>
    </row>
    <row r="222" spans="1:11" ht="12.75">
      <c r="A222" s="764" t="s">
        <v>383</v>
      </c>
      <c r="B222" s="764"/>
      <c r="C222" s="764"/>
      <c r="D222" s="764"/>
      <c r="E222" s="14"/>
      <c r="F222" s="14"/>
      <c r="G222" s="14"/>
      <c r="H222" s="53"/>
      <c r="I222" s="53"/>
      <c r="J222" s="53"/>
      <c r="K222" s="53"/>
    </row>
    <row r="223" spans="1:2" ht="12.75">
      <c r="A223" s="33" t="str">
        <f>+A167</f>
        <v>Juris.:</v>
      </c>
      <c r="B223" s="53" t="str">
        <f>+B167</f>
        <v>DIRECCION DE INSPECCIÓN GENERAL Y FISCALIZACION</v>
      </c>
    </row>
    <row r="224" spans="1:2" ht="12.75">
      <c r="A224" s="33" t="s">
        <v>1012</v>
      </c>
      <c r="B224" s="14"/>
    </row>
    <row r="225" ht="12.75"/>
    <row r="226" spans="1:11" ht="12.75">
      <c r="A226" s="157" t="s">
        <v>621</v>
      </c>
      <c r="B226" s="160" t="s">
        <v>1016</v>
      </c>
      <c r="C226" s="157" t="s">
        <v>1014</v>
      </c>
      <c r="D226" s="157" t="s">
        <v>638</v>
      </c>
      <c r="E226"/>
      <c r="F226"/>
      <c r="G226"/>
      <c r="H226"/>
      <c r="I226"/>
      <c r="J226"/>
      <c r="K226"/>
    </row>
    <row r="227" spans="1:11" ht="12.75">
      <c r="A227" s="157"/>
      <c r="B227" s="276"/>
      <c r="C227" s="157" t="s">
        <v>1015</v>
      </c>
      <c r="D227" s="157"/>
      <c r="E227"/>
      <c r="F227" s="564"/>
      <c r="G227"/>
      <c r="H227"/>
      <c r="I227"/>
      <c r="J227"/>
      <c r="K227"/>
    </row>
    <row r="228" spans="1:11" ht="12.75">
      <c r="A228" s="277" t="s">
        <v>1003</v>
      </c>
      <c r="E228"/>
      <c r="F228" s="563"/>
      <c r="G228"/>
      <c r="H228"/>
      <c r="I228"/>
      <c r="J228"/>
      <c r="K228"/>
    </row>
    <row r="229" spans="1:11" ht="12.75">
      <c r="A229" s="193">
        <v>1</v>
      </c>
      <c r="B229" s="200" t="s">
        <v>875</v>
      </c>
      <c r="C229" s="258">
        <f>9000-1440</f>
        <v>7560</v>
      </c>
      <c r="D229" s="158">
        <f aca="true" t="shared" si="9" ref="D229:D239">SUM(C229:C229)</f>
        <v>7560</v>
      </c>
      <c r="E229"/>
      <c r="F229" s="9"/>
      <c r="G229"/>
      <c r="H229"/>
      <c r="I229"/>
      <c r="J229"/>
      <c r="K229"/>
    </row>
    <row r="230" spans="1:11" ht="12.75">
      <c r="A230" s="193">
        <v>2</v>
      </c>
      <c r="B230" s="200" t="s">
        <v>876</v>
      </c>
      <c r="C230" s="258">
        <f>2000-320</f>
        <v>1680</v>
      </c>
      <c r="D230" s="158">
        <f t="shared" si="9"/>
        <v>1680</v>
      </c>
      <c r="E230"/>
      <c r="F230" s="9"/>
      <c r="G230"/>
      <c r="H230"/>
      <c r="I230"/>
      <c r="J230"/>
      <c r="K230"/>
    </row>
    <row r="231" spans="1:11" ht="12.75">
      <c r="A231" s="193">
        <v>3</v>
      </c>
      <c r="B231" s="200" t="s">
        <v>877</v>
      </c>
      <c r="C231" s="258">
        <f>60000-21000</f>
        <v>39000</v>
      </c>
      <c r="D231" s="158">
        <f t="shared" si="9"/>
        <v>39000</v>
      </c>
      <c r="E231"/>
      <c r="F231" s="9"/>
      <c r="G231"/>
      <c r="H231"/>
      <c r="I231"/>
      <c r="J231"/>
      <c r="K231"/>
    </row>
    <row r="232" spans="1:11" ht="12.75">
      <c r="A232" s="193">
        <v>4</v>
      </c>
      <c r="B232" s="200" t="s">
        <v>878</v>
      </c>
      <c r="C232" s="258">
        <f>11000-1760</f>
        <v>9240</v>
      </c>
      <c r="D232" s="158">
        <f t="shared" si="9"/>
        <v>9240</v>
      </c>
      <c r="E232"/>
      <c r="F232" s="9"/>
      <c r="G232"/>
      <c r="H232"/>
      <c r="I232"/>
      <c r="J232"/>
      <c r="K232"/>
    </row>
    <row r="233" spans="1:11" ht="12.75">
      <c r="A233" s="193">
        <v>5</v>
      </c>
      <c r="B233" s="200" t="s">
        <v>879</v>
      </c>
      <c r="C233" s="258"/>
      <c r="D233" s="158">
        <f t="shared" si="9"/>
        <v>0</v>
      </c>
      <c r="E233"/>
      <c r="F233" s="9"/>
      <c r="G233"/>
      <c r="H233"/>
      <c r="I233"/>
      <c r="J233"/>
      <c r="K233"/>
    </row>
    <row r="234" spans="1:11" ht="12.75">
      <c r="A234" s="193">
        <v>6</v>
      </c>
      <c r="B234" s="200" t="s">
        <v>880</v>
      </c>
      <c r="C234" s="258">
        <f>540-80</f>
        <v>460</v>
      </c>
      <c r="D234" s="158">
        <f t="shared" si="9"/>
        <v>460</v>
      </c>
      <c r="E234"/>
      <c r="F234" s="9"/>
      <c r="G234"/>
      <c r="H234"/>
      <c r="I234"/>
      <c r="J234"/>
      <c r="K234"/>
    </row>
    <row r="235" spans="1:11" ht="12.75">
      <c r="A235" s="193">
        <v>7</v>
      </c>
      <c r="B235" s="200" t="s">
        <v>893</v>
      </c>
      <c r="C235" s="258">
        <f>2000-130</f>
        <v>1870</v>
      </c>
      <c r="D235" s="158">
        <f t="shared" si="9"/>
        <v>1870</v>
      </c>
      <c r="E235"/>
      <c r="F235" s="9"/>
      <c r="G235"/>
      <c r="H235"/>
      <c r="I235"/>
      <c r="J235"/>
      <c r="K235"/>
    </row>
    <row r="236" spans="1:11" ht="12.75">
      <c r="A236" s="193">
        <v>8</v>
      </c>
      <c r="B236" s="200" t="s">
        <v>894</v>
      </c>
      <c r="C236" s="258">
        <f>7200-1150</f>
        <v>6050</v>
      </c>
      <c r="D236" s="158">
        <f t="shared" si="9"/>
        <v>6050</v>
      </c>
      <c r="E236"/>
      <c r="F236" s="9"/>
      <c r="G236"/>
      <c r="H236"/>
      <c r="I236"/>
      <c r="J236"/>
      <c r="K236"/>
    </row>
    <row r="237" spans="1:11" ht="12.75">
      <c r="A237" s="193">
        <v>9</v>
      </c>
      <c r="B237" s="200" t="s">
        <v>897</v>
      </c>
      <c r="C237" s="258"/>
      <c r="D237" s="158">
        <f t="shared" si="9"/>
        <v>0</v>
      </c>
      <c r="E237"/>
      <c r="F237" s="9"/>
      <c r="G237"/>
      <c r="H237"/>
      <c r="I237"/>
      <c r="J237"/>
      <c r="K237"/>
    </row>
    <row r="238" spans="1:11" ht="12.75">
      <c r="A238" s="193">
        <v>10</v>
      </c>
      <c r="B238" s="200" t="s">
        <v>895</v>
      </c>
      <c r="C238" s="258">
        <f>22000-3520</f>
        <v>18480</v>
      </c>
      <c r="D238" s="158">
        <f t="shared" si="9"/>
        <v>18480</v>
      </c>
      <c r="E238"/>
      <c r="F238" s="9"/>
      <c r="G238"/>
      <c r="H238"/>
      <c r="I238"/>
      <c r="J238"/>
      <c r="K238"/>
    </row>
    <row r="239" spans="1:11" ht="12.75">
      <c r="A239" s="193" t="s">
        <v>911</v>
      </c>
      <c r="B239" s="200" t="s">
        <v>738</v>
      </c>
      <c r="C239" s="258">
        <f>8000-1280</f>
        <v>6720</v>
      </c>
      <c r="D239" s="158">
        <f t="shared" si="9"/>
        <v>6720</v>
      </c>
      <c r="E239"/>
      <c r="F239" s="9"/>
      <c r="G239"/>
      <c r="H239"/>
      <c r="I239"/>
      <c r="J239"/>
      <c r="K239"/>
    </row>
    <row r="240" spans="1:11" ht="12.75">
      <c r="A240" s="159"/>
      <c r="B240" s="160" t="s">
        <v>638</v>
      </c>
      <c r="C240" s="158">
        <f>SUM(C229:C239)</f>
        <v>91060</v>
      </c>
      <c r="D240" s="158">
        <f>SUM(D229:D239)</f>
        <v>91060</v>
      </c>
      <c r="E240"/>
      <c r="F240"/>
      <c r="G240"/>
      <c r="H240"/>
      <c r="I240"/>
      <c r="J240"/>
      <c r="K240"/>
    </row>
    <row r="241" ht="12.75"/>
    <row r="242" spans="1:3" ht="12.75">
      <c r="A242" s="48" t="s">
        <v>374</v>
      </c>
      <c r="C242" s="57" t="s">
        <v>372</v>
      </c>
    </row>
    <row r="243" spans="1:8" ht="12.75">
      <c r="A243" s="764" t="s">
        <v>383</v>
      </c>
      <c r="B243" s="764"/>
      <c r="C243" s="764"/>
      <c r="D243" s="764"/>
      <c r="E243" s="14"/>
      <c r="F243" s="14"/>
      <c r="G243" s="14"/>
      <c r="H243" s="14"/>
    </row>
    <row r="244" spans="1:2" ht="12.75">
      <c r="A244" s="33" t="str">
        <f>+A223</f>
        <v>Juris.:</v>
      </c>
      <c r="B244" s="14" t="s">
        <v>420</v>
      </c>
    </row>
    <row r="245" spans="1:2" ht="12.75">
      <c r="A245" s="33" t="s">
        <v>1012</v>
      </c>
      <c r="B245" s="14"/>
    </row>
    <row r="246" ht="12.75"/>
    <row r="247" spans="1:11" ht="12.75">
      <c r="A247" s="157" t="s">
        <v>621</v>
      </c>
      <c r="B247" s="160" t="s">
        <v>996</v>
      </c>
      <c r="C247" s="157" t="s">
        <v>1014</v>
      </c>
      <c r="D247" s="157" t="s">
        <v>88</v>
      </c>
      <c r="H247"/>
      <c r="I247"/>
      <c r="J247"/>
      <c r="K247"/>
    </row>
    <row r="248" spans="1:11" ht="12.75">
      <c r="A248" s="157"/>
      <c r="B248" s="276"/>
      <c r="C248" s="157" t="s">
        <v>1017</v>
      </c>
      <c r="D248" s="157" t="s">
        <v>638</v>
      </c>
      <c r="F248" s="564"/>
      <c r="H248"/>
      <c r="I248"/>
      <c r="J248"/>
      <c r="K248"/>
    </row>
    <row r="249" spans="1:11" ht="12.75">
      <c r="A249" s="277" t="s">
        <v>995</v>
      </c>
      <c r="F249" s="563"/>
      <c r="K249"/>
    </row>
    <row r="250" spans="1:11" ht="12.75">
      <c r="A250" s="197" t="s">
        <v>666</v>
      </c>
      <c r="B250" s="200" t="s">
        <v>667</v>
      </c>
      <c r="C250" s="258">
        <f>477600-29100</f>
        <v>448500</v>
      </c>
      <c r="D250" s="158">
        <f aca="true" t="shared" si="10" ref="D250:D263">SUM(C250:C250)</f>
        <v>448500</v>
      </c>
      <c r="F250" s="9"/>
      <c r="H250"/>
      <c r="I250"/>
      <c r="J250"/>
      <c r="K250"/>
    </row>
    <row r="251" spans="1:11" ht="12.75">
      <c r="A251" s="197" t="s">
        <v>668</v>
      </c>
      <c r="B251" s="200" t="s">
        <v>669</v>
      </c>
      <c r="C251" s="258">
        <f>154460-9170</f>
        <v>145290</v>
      </c>
      <c r="D251" s="158">
        <f t="shared" si="10"/>
        <v>145290</v>
      </c>
      <c r="F251" s="9"/>
      <c r="H251"/>
      <c r="I251"/>
      <c r="J251"/>
      <c r="K251"/>
    </row>
    <row r="252" spans="1:11" ht="12.75">
      <c r="A252" s="197" t="s">
        <v>670</v>
      </c>
      <c r="B252" s="200" t="s">
        <v>726</v>
      </c>
      <c r="C252" s="258">
        <v>0</v>
      </c>
      <c r="D252" s="158">
        <f t="shared" si="10"/>
        <v>0</v>
      </c>
      <c r="F252" s="9"/>
      <c r="H252"/>
      <c r="I252"/>
      <c r="J252"/>
      <c r="K252"/>
    </row>
    <row r="253" spans="1:11" ht="12.75">
      <c r="A253" s="197" t="s">
        <v>672</v>
      </c>
      <c r="B253" s="200" t="s">
        <v>671</v>
      </c>
      <c r="C253" s="258">
        <f>72190-2880</f>
        <v>69310</v>
      </c>
      <c r="D253" s="158">
        <f t="shared" si="10"/>
        <v>69310</v>
      </c>
      <c r="F253" s="9"/>
      <c r="H253"/>
      <c r="I253"/>
      <c r="J253"/>
      <c r="K253"/>
    </row>
    <row r="254" spans="1:11" ht="12.75">
      <c r="A254" s="197" t="s">
        <v>673</v>
      </c>
      <c r="B254" s="200" t="s">
        <v>674</v>
      </c>
      <c r="C254" s="258">
        <f>326430-53050</f>
        <v>273380</v>
      </c>
      <c r="D254" s="158">
        <f t="shared" si="10"/>
        <v>273380</v>
      </c>
      <c r="F254" s="9"/>
      <c r="H254"/>
      <c r="I254"/>
      <c r="J254"/>
      <c r="K254"/>
    </row>
    <row r="255" spans="1:11" ht="12.75">
      <c r="A255" s="197" t="s">
        <v>675</v>
      </c>
      <c r="B255" s="200" t="s">
        <v>727</v>
      </c>
      <c r="C255" s="258">
        <f>3960-150</f>
        <v>3810</v>
      </c>
      <c r="D255" s="158">
        <f t="shared" si="10"/>
        <v>3810</v>
      </c>
      <c r="F255" s="9"/>
      <c r="H255"/>
      <c r="I255"/>
      <c r="J255"/>
      <c r="K255"/>
    </row>
    <row r="256" spans="1:11" ht="12.75">
      <c r="A256" s="197" t="s">
        <v>677</v>
      </c>
      <c r="B256" s="200" t="s">
        <v>676</v>
      </c>
      <c r="C256" s="258">
        <f>102900-5110</f>
        <v>97790</v>
      </c>
      <c r="D256" s="158">
        <f t="shared" si="10"/>
        <v>97790</v>
      </c>
      <c r="F256" s="9"/>
      <c r="H256"/>
      <c r="I256"/>
      <c r="J256"/>
      <c r="K256"/>
    </row>
    <row r="257" spans="1:11" ht="12.75">
      <c r="A257" s="197" t="s">
        <v>679</v>
      </c>
      <c r="B257" s="200" t="s">
        <v>678</v>
      </c>
      <c r="C257" s="258">
        <f>103790-4150</f>
        <v>99640</v>
      </c>
      <c r="D257" s="158">
        <f t="shared" si="10"/>
        <v>99640</v>
      </c>
      <c r="F257" s="9"/>
      <c r="H257"/>
      <c r="I257"/>
      <c r="J257"/>
      <c r="K257"/>
    </row>
    <row r="258" spans="1:11" ht="12.75">
      <c r="A258" s="197" t="s">
        <v>680</v>
      </c>
      <c r="B258" s="200" t="s">
        <v>728</v>
      </c>
      <c r="C258" s="258">
        <f>95610-3820</f>
        <v>91790</v>
      </c>
      <c r="D258" s="158">
        <f t="shared" si="10"/>
        <v>91790</v>
      </c>
      <c r="F258" s="9"/>
      <c r="H258"/>
      <c r="I258"/>
      <c r="J258"/>
      <c r="K258"/>
    </row>
    <row r="259" spans="1:11" ht="12.75">
      <c r="A259" s="197" t="s">
        <v>681</v>
      </c>
      <c r="B259" s="200" t="s">
        <v>730</v>
      </c>
      <c r="C259" s="258">
        <f>105010-14200</f>
        <v>90810</v>
      </c>
      <c r="D259" s="158">
        <f t="shared" si="10"/>
        <v>90810</v>
      </c>
      <c r="F259" s="9"/>
      <c r="H259"/>
      <c r="I259"/>
      <c r="J259"/>
      <c r="K259"/>
    </row>
    <row r="260" spans="1:11" ht="12.75">
      <c r="A260" s="197" t="s">
        <v>725</v>
      </c>
      <c r="B260" s="200" t="s">
        <v>731</v>
      </c>
      <c r="C260" s="258">
        <f>100180-4000</f>
        <v>96180</v>
      </c>
      <c r="D260" s="158">
        <f t="shared" si="10"/>
        <v>96180</v>
      </c>
      <c r="F260" s="9"/>
      <c r="H260"/>
      <c r="I260"/>
      <c r="J260"/>
      <c r="K260"/>
    </row>
    <row r="261" spans="1:11" ht="12.75">
      <c r="A261" s="197" t="s">
        <v>729</v>
      </c>
      <c r="B261" s="200" t="s">
        <v>732</v>
      </c>
      <c r="C261" s="258">
        <f>51320-2050</f>
        <v>49270</v>
      </c>
      <c r="D261" s="158">
        <f t="shared" si="10"/>
        <v>49270</v>
      </c>
      <c r="F261" s="9"/>
      <c r="H261"/>
      <c r="I261"/>
      <c r="J261"/>
      <c r="K261"/>
    </row>
    <row r="262" spans="1:11" ht="12.75">
      <c r="A262" s="197" t="s">
        <v>733</v>
      </c>
      <c r="B262" s="200" t="s">
        <v>735</v>
      </c>
      <c r="C262" s="258">
        <f>9360-370</f>
        <v>8990</v>
      </c>
      <c r="D262" s="158">
        <f t="shared" si="10"/>
        <v>8990</v>
      </c>
      <c r="F262" s="9"/>
      <c r="H262"/>
      <c r="I262"/>
      <c r="J262"/>
      <c r="K262"/>
    </row>
    <row r="263" spans="1:11" ht="12.75">
      <c r="A263" s="197" t="s">
        <v>734</v>
      </c>
      <c r="B263" s="200" t="s">
        <v>736</v>
      </c>
      <c r="C263" s="258">
        <v>0</v>
      </c>
      <c r="D263" s="158">
        <f t="shared" si="10"/>
        <v>0</v>
      </c>
      <c r="F263" s="9"/>
      <c r="H263"/>
      <c r="I263"/>
      <c r="J263"/>
      <c r="K263"/>
    </row>
    <row r="264" spans="1:11" ht="12.75">
      <c r="A264" s="159"/>
      <c r="B264" s="160" t="s">
        <v>638</v>
      </c>
      <c r="C264" s="158">
        <f>SUM(C250:C263)</f>
        <v>1474760</v>
      </c>
      <c r="D264" s="158">
        <f>SUM(D250:D263)</f>
        <v>1474760</v>
      </c>
      <c r="H264"/>
      <c r="I264"/>
      <c r="J264"/>
      <c r="K264"/>
    </row>
    <row r="265" ht="12.75"/>
    <row r="266" spans="1:11" ht="12.75">
      <c r="A266" s="157" t="s">
        <v>621</v>
      </c>
      <c r="B266" s="160" t="s">
        <v>998</v>
      </c>
      <c r="C266" s="157" t="s">
        <v>1014</v>
      </c>
      <c r="D266" s="157" t="s">
        <v>88</v>
      </c>
      <c r="H266"/>
      <c r="I266"/>
      <c r="J266"/>
      <c r="K266"/>
    </row>
    <row r="267" spans="1:11" ht="12.75">
      <c r="A267" s="157"/>
      <c r="B267" s="276"/>
      <c r="C267" s="157" t="s">
        <v>1017</v>
      </c>
      <c r="D267" s="157" t="s">
        <v>638</v>
      </c>
      <c r="F267" s="564"/>
      <c r="H267"/>
      <c r="I267"/>
      <c r="J267"/>
      <c r="K267"/>
    </row>
    <row r="268" spans="1:11" ht="12.75">
      <c r="A268" s="277" t="s">
        <v>999</v>
      </c>
      <c r="F268" s="563"/>
      <c r="H268"/>
      <c r="I268"/>
      <c r="J268"/>
      <c r="K268"/>
    </row>
    <row r="269" spans="1:11" ht="12.75">
      <c r="A269" s="197" t="s">
        <v>666</v>
      </c>
      <c r="B269" s="200" t="s">
        <v>667</v>
      </c>
      <c r="C269" s="258">
        <f>44810-2790</f>
        <v>42020</v>
      </c>
      <c r="D269" s="158">
        <f aca="true" t="shared" si="11" ref="D269:D282">SUM(C269:C269)</f>
        <v>42020</v>
      </c>
      <c r="F269" s="9"/>
      <c r="H269"/>
      <c r="I269"/>
      <c r="J269"/>
      <c r="K269"/>
    </row>
    <row r="270" spans="1:11" ht="12.75">
      <c r="A270" s="197" t="s">
        <v>668</v>
      </c>
      <c r="B270" s="200" t="s">
        <v>669</v>
      </c>
      <c r="C270" s="258">
        <f>2990-120</f>
        <v>2870</v>
      </c>
      <c r="D270" s="158">
        <f t="shared" si="11"/>
        <v>2870</v>
      </c>
      <c r="F270" s="9"/>
      <c r="H270"/>
      <c r="I270"/>
      <c r="J270"/>
      <c r="K270"/>
    </row>
    <row r="271" spans="1:11" ht="12.75">
      <c r="A271" s="197" t="s">
        <v>670</v>
      </c>
      <c r="B271" s="200" t="s">
        <v>726</v>
      </c>
      <c r="C271" s="258">
        <v>0</v>
      </c>
      <c r="D271" s="158">
        <f t="shared" si="11"/>
        <v>0</v>
      </c>
      <c r="F271" s="9"/>
      <c r="H271"/>
      <c r="I271"/>
      <c r="J271"/>
      <c r="K271"/>
    </row>
    <row r="272" spans="1:11" ht="12.75">
      <c r="A272" s="197" t="s">
        <v>672</v>
      </c>
      <c r="B272" s="200" t="s">
        <v>671</v>
      </c>
      <c r="C272" s="258">
        <v>0</v>
      </c>
      <c r="D272" s="158">
        <f t="shared" si="11"/>
        <v>0</v>
      </c>
      <c r="F272" s="9"/>
      <c r="H272"/>
      <c r="I272"/>
      <c r="J272"/>
      <c r="K272"/>
    </row>
    <row r="273" spans="1:11" ht="12.75">
      <c r="A273" s="197" t="s">
        <v>673</v>
      </c>
      <c r="B273" s="200" t="s">
        <v>674</v>
      </c>
      <c r="C273" s="258">
        <f>32580-1300</f>
        <v>31280</v>
      </c>
      <c r="D273" s="158">
        <f t="shared" si="11"/>
        <v>31280</v>
      </c>
      <c r="F273" s="9"/>
      <c r="H273"/>
      <c r="I273"/>
      <c r="J273"/>
      <c r="K273"/>
    </row>
    <row r="274" spans="1:11" ht="12.75">
      <c r="A274" s="197" t="s">
        <v>675</v>
      </c>
      <c r="B274" s="200" t="s">
        <v>727</v>
      </c>
      <c r="C274" s="258">
        <v>0</v>
      </c>
      <c r="D274" s="158">
        <f t="shared" si="11"/>
        <v>0</v>
      </c>
      <c r="F274" s="9"/>
      <c r="H274"/>
      <c r="I274"/>
      <c r="J274"/>
      <c r="K274"/>
    </row>
    <row r="275" spans="1:11" ht="12.75">
      <c r="A275" s="197" t="s">
        <v>677</v>
      </c>
      <c r="B275" s="200" t="s">
        <v>676</v>
      </c>
      <c r="C275" s="258">
        <f>12310-490</f>
        <v>11820</v>
      </c>
      <c r="D275" s="158">
        <f t="shared" si="11"/>
        <v>11820</v>
      </c>
      <c r="F275" s="9"/>
      <c r="H275"/>
      <c r="I275"/>
      <c r="J275"/>
      <c r="K275"/>
    </row>
    <row r="276" spans="1:11" ht="12.75">
      <c r="A276" s="197" t="s">
        <v>679</v>
      </c>
      <c r="B276" s="200" t="s">
        <v>678</v>
      </c>
      <c r="C276" s="258">
        <f>7350-290</f>
        <v>7060</v>
      </c>
      <c r="D276" s="158">
        <f t="shared" si="11"/>
        <v>7060</v>
      </c>
      <c r="F276" s="9"/>
      <c r="H276"/>
      <c r="I276"/>
      <c r="J276"/>
      <c r="K276"/>
    </row>
    <row r="277" spans="1:11" ht="12.75">
      <c r="A277" s="197" t="s">
        <v>680</v>
      </c>
      <c r="B277" s="200" t="s">
        <v>728</v>
      </c>
      <c r="C277" s="258">
        <v>0</v>
      </c>
      <c r="D277" s="158">
        <f t="shared" si="11"/>
        <v>0</v>
      </c>
      <c r="F277" s="9"/>
      <c r="H277"/>
      <c r="I277"/>
      <c r="J277"/>
      <c r="K277"/>
    </row>
    <row r="278" spans="1:11" ht="12.75">
      <c r="A278" s="197" t="s">
        <v>681</v>
      </c>
      <c r="B278" s="200" t="s">
        <v>730</v>
      </c>
      <c r="C278" s="258">
        <f>23550-940</f>
        <v>22610</v>
      </c>
      <c r="D278" s="158">
        <f t="shared" si="11"/>
        <v>22610</v>
      </c>
      <c r="F278" s="9"/>
      <c r="H278"/>
      <c r="I278"/>
      <c r="J278"/>
      <c r="K278"/>
    </row>
    <row r="279" spans="1:11" ht="12.75">
      <c r="A279" s="197" t="s">
        <v>725</v>
      </c>
      <c r="B279" s="200" t="s">
        <v>731</v>
      </c>
      <c r="C279" s="258">
        <f>12310-490</f>
        <v>11820</v>
      </c>
      <c r="D279" s="158">
        <f t="shared" si="11"/>
        <v>11820</v>
      </c>
      <c r="F279" s="9"/>
      <c r="H279"/>
      <c r="I279"/>
      <c r="J279"/>
      <c r="K279"/>
    </row>
    <row r="280" spans="1:11" ht="12.75">
      <c r="A280" s="197" t="s">
        <v>729</v>
      </c>
      <c r="B280" s="200" t="s">
        <v>732</v>
      </c>
      <c r="C280" s="258">
        <f>7250-290</f>
        <v>6960</v>
      </c>
      <c r="D280" s="158">
        <f t="shared" si="11"/>
        <v>6960</v>
      </c>
      <c r="F280" s="9"/>
      <c r="H280"/>
      <c r="I280"/>
      <c r="J280"/>
      <c r="K280"/>
    </row>
    <row r="281" spans="1:11" ht="12.75">
      <c r="A281" s="197" t="s">
        <v>733</v>
      </c>
      <c r="B281" s="200" t="s">
        <v>735</v>
      </c>
      <c r="C281" s="258">
        <f>1570-60</f>
        <v>1510</v>
      </c>
      <c r="D281" s="158">
        <f t="shared" si="11"/>
        <v>1510</v>
      </c>
      <c r="F281" s="9"/>
      <c r="H281"/>
      <c r="I281"/>
      <c r="J281"/>
      <c r="K281"/>
    </row>
    <row r="282" spans="1:11" ht="12.75">
      <c r="A282" s="197" t="s">
        <v>734</v>
      </c>
      <c r="B282" s="200" t="s">
        <v>736</v>
      </c>
      <c r="C282" s="258">
        <v>0</v>
      </c>
      <c r="D282" s="158">
        <f t="shared" si="11"/>
        <v>0</v>
      </c>
      <c r="F282" s="9"/>
      <c r="H282"/>
      <c r="I282"/>
      <c r="J282"/>
      <c r="K282"/>
    </row>
    <row r="283" spans="1:11" ht="12.75">
      <c r="A283" s="159"/>
      <c r="B283" s="160" t="s">
        <v>638</v>
      </c>
      <c r="C283" s="158">
        <f>SUM(C269:C282)</f>
        <v>137950</v>
      </c>
      <c r="D283" s="158">
        <f>SUM(D269:D282)</f>
        <v>137950</v>
      </c>
      <c r="F283" s="9"/>
      <c r="H283"/>
      <c r="I283"/>
      <c r="J283"/>
      <c r="K283"/>
    </row>
    <row r="284" ht="12.75">
      <c r="A284" s="74"/>
    </row>
    <row r="285" ht="12.75">
      <c r="A285" s="74"/>
    </row>
    <row r="286" spans="1:3" ht="12.75">
      <c r="A286" s="48" t="str">
        <f>+A242</f>
        <v> </v>
      </c>
      <c r="C286" s="57" t="s">
        <v>372</v>
      </c>
    </row>
    <row r="287" spans="1:8" ht="12.75">
      <c r="A287" s="764" t="s">
        <v>383</v>
      </c>
      <c r="B287" s="764"/>
      <c r="C287" s="764"/>
      <c r="D287" s="764"/>
      <c r="E287" s="14"/>
      <c r="F287" s="14"/>
      <c r="G287" s="14"/>
      <c r="H287" s="14"/>
    </row>
    <row r="288" spans="1:2" ht="12.75">
      <c r="A288" s="33" t="str">
        <f>+A244</f>
        <v>Juris.:</v>
      </c>
      <c r="B288" s="14" t="s">
        <v>420</v>
      </c>
    </row>
    <row r="289" spans="1:2" ht="12.75">
      <c r="A289" s="33" t="s">
        <v>1012</v>
      </c>
      <c r="B289" s="14"/>
    </row>
    <row r="290" ht="12.75"/>
    <row r="291" spans="1:11" ht="12.75">
      <c r="A291" s="157" t="s">
        <v>621</v>
      </c>
      <c r="B291" s="160" t="s">
        <v>1001</v>
      </c>
      <c r="C291" s="157" t="s">
        <v>1014</v>
      </c>
      <c r="D291" s="157" t="s">
        <v>88</v>
      </c>
      <c r="H291"/>
      <c r="I291"/>
      <c r="J291"/>
      <c r="K291"/>
    </row>
    <row r="292" spans="1:11" ht="12.75">
      <c r="A292" s="157"/>
      <c r="B292" s="276"/>
      <c r="C292" s="157" t="s">
        <v>1017</v>
      </c>
      <c r="D292" s="157" t="s">
        <v>638</v>
      </c>
      <c r="F292" s="564"/>
      <c r="H292"/>
      <c r="I292"/>
      <c r="J292"/>
      <c r="K292"/>
    </row>
    <row r="293" spans="1:11" ht="12.75">
      <c r="A293" s="277" t="s">
        <v>1000</v>
      </c>
      <c r="F293" s="563"/>
      <c r="H293"/>
      <c r="I293"/>
      <c r="J293"/>
      <c r="K293"/>
    </row>
    <row r="294" spans="1:11" ht="12.75">
      <c r="A294" s="193">
        <v>1</v>
      </c>
      <c r="B294" s="200" t="s">
        <v>834</v>
      </c>
      <c r="C294" s="258"/>
      <c r="D294" s="158">
        <f aca="true" t="shared" si="12" ref="D294:D312">SUM(C294:C294)</f>
        <v>0</v>
      </c>
      <c r="F294" s="9"/>
      <c r="H294"/>
      <c r="I294"/>
      <c r="J294"/>
      <c r="K294"/>
    </row>
    <row r="295" spans="1:11" ht="12.75">
      <c r="A295" s="193">
        <v>2</v>
      </c>
      <c r="B295" s="200" t="s">
        <v>835</v>
      </c>
      <c r="C295" s="258"/>
      <c r="D295" s="158">
        <f t="shared" si="12"/>
        <v>0</v>
      </c>
      <c r="F295" s="9"/>
      <c r="H295"/>
      <c r="I295"/>
      <c r="J295"/>
      <c r="K295"/>
    </row>
    <row r="296" spans="1:11" ht="12.75">
      <c r="A296" s="193">
        <v>3</v>
      </c>
      <c r="B296" s="200" t="s">
        <v>836</v>
      </c>
      <c r="C296" s="258"/>
      <c r="D296" s="158">
        <f t="shared" si="12"/>
        <v>0</v>
      </c>
      <c r="F296" s="9"/>
      <c r="H296"/>
      <c r="I296"/>
      <c r="J296"/>
      <c r="K296"/>
    </row>
    <row r="297" spans="1:11" ht="12.75">
      <c r="A297" s="193">
        <v>4</v>
      </c>
      <c r="B297" s="200" t="s">
        <v>837</v>
      </c>
      <c r="C297" s="258">
        <f>2000-320</f>
        <v>1680</v>
      </c>
      <c r="D297" s="158">
        <f t="shared" si="12"/>
        <v>1680</v>
      </c>
      <c r="F297" s="9"/>
      <c r="H297"/>
      <c r="I297"/>
      <c r="J297"/>
      <c r="K297"/>
    </row>
    <row r="298" spans="1:11" ht="12.75">
      <c r="A298" s="193">
        <v>5</v>
      </c>
      <c r="B298" s="200" t="s">
        <v>838</v>
      </c>
      <c r="C298" s="258"/>
      <c r="D298" s="158">
        <f t="shared" si="12"/>
        <v>0</v>
      </c>
      <c r="F298" s="9"/>
      <c r="H298"/>
      <c r="I298"/>
      <c r="J298"/>
      <c r="K298"/>
    </row>
    <row r="299" spans="1:11" ht="12.75">
      <c r="A299" s="193">
        <v>6</v>
      </c>
      <c r="B299" s="200" t="s">
        <v>839</v>
      </c>
      <c r="C299" s="258">
        <f>60000-9600-10000</f>
        <v>40400</v>
      </c>
      <c r="D299" s="158">
        <f t="shared" si="12"/>
        <v>40400</v>
      </c>
      <c r="F299" s="9"/>
      <c r="H299"/>
      <c r="I299"/>
      <c r="J299"/>
      <c r="K299"/>
    </row>
    <row r="300" spans="1:11" ht="12.75">
      <c r="A300" s="193">
        <v>7</v>
      </c>
      <c r="B300" s="200" t="s">
        <v>840</v>
      </c>
      <c r="C300" s="258"/>
      <c r="D300" s="158">
        <f t="shared" si="12"/>
        <v>0</v>
      </c>
      <c r="F300" s="9"/>
      <c r="H300"/>
      <c r="I300"/>
      <c r="J300"/>
      <c r="K300"/>
    </row>
    <row r="301" spans="1:11" ht="12.75">
      <c r="A301" s="193">
        <v>8</v>
      </c>
      <c r="B301" s="200" t="s">
        <v>842</v>
      </c>
      <c r="C301" s="258"/>
      <c r="D301" s="158">
        <f t="shared" si="12"/>
        <v>0</v>
      </c>
      <c r="F301" s="9"/>
      <c r="H301"/>
      <c r="I301"/>
      <c r="J301"/>
      <c r="K301"/>
    </row>
    <row r="302" spans="1:11" ht="12.75">
      <c r="A302" s="193">
        <v>9</v>
      </c>
      <c r="B302" s="200" t="s">
        <v>843</v>
      </c>
      <c r="C302" s="258">
        <f>27170-4340-12000</f>
        <v>10830</v>
      </c>
      <c r="D302" s="158">
        <f t="shared" si="12"/>
        <v>10830</v>
      </c>
      <c r="F302" s="9"/>
      <c r="H302"/>
      <c r="I302"/>
      <c r="J302"/>
      <c r="K302"/>
    </row>
    <row r="303" spans="1:11" ht="12.75">
      <c r="A303" s="193">
        <v>10</v>
      </c>
      <c r="B303" s="200" t="s">
        <v>844</v>
      </c>
      <c r="C303" s="258"/>
      <c r="D303" s="158">
        <f t="shared" si="12"/>
        <v>0</v>
      </c>
      <c r="F303" s="9"/>
      <c r="H303"/>
      <c r="I303"/>
      <c r="J303"/>
      <c r="K303"/>
    </row>
    <row r="304" spans="1:11" ht="12.75">
      <c r="A304" s="193">
        <v>11</v>
      </c>
      <c r="B304" s="200" t="s">
        <v>845</v>
      </c>
      <c r="C304" s="258">
        <f>10000-1600</f>
        <v>8400</v>
      </c>
      <c r="D304" s="158">
        <f t="shared" si="12"/>
        <v>8400</v>
      </c>
      <c r="F304" s="9"/>
      <c r="H304"/>
      <c r="I304"/>
      <c r="J304"/>
      <c r="K304"/>
    </row>
    <row r="305" spans="1:11" ht="12.75">
      <c r="A305" s="193">
        <v>12</v>
      </c>
      <c r="B305" s="200" t="s">
        <v>846</v>
      </c>
      <c r="C305" s="258"/>
      <c r="D305" s="158">
        <f t="shared" si="12"/>
        <v>0</v>
      </c>
      <c r="F305" s="9"/>
      <c r="H305"/>
      <c r="I305"/>
      <c r="J305"/>
      <c r="K305"/>
    </row>
    <row r="306" spans="1:11" ht="12.75">
      <c r="A306" s="193">
        <v>13</v>
      </c>
      <c r="B306" s="200" t="s">
        <v>847</v>
      </c>
      <c r="C306" s="258"/>
      <c r="D306" s="158">
        <f t="shared" si="12"/>
        <v>0</v>
      </c>
      <c r="F306" s="9"/>
      <c r="H306"/>
      <c r="I306"/>
      <c r="J306"/>
      <c r="K306"/>
    </row>
    <row r="307" spans="1:11" ht="12.75">
      <c r="A307" s="193">
        <v>14</v>
      </c>
      <c r="B307" s="200" t="s">
        <v>848</v>
      </c>
      <c r="C307" s="258"/>
      <c r="D307" s="158">
        <f t="shared" si="12"/>
        <v>0</v>
      </c>
      <c r="F307" s="9"/>
      <c r="H307"/>
      <c r="I307"/>
      <c r="J307"/>
      <c r="K307"/>
    </row>
    <row r="308" spans="1:11" ht="12.75">
      <c r="A308" s="193">
        <v>15</v>
      </c>
      <c r="B308" s="200" t="s">
        <v>849</v>
      </c>
      <c r="C308" s="258">
        <f>17780-2840</f>
        <v>14940</v>
      </c>
      <c r="D308" s="158">
        <f t="shared" si="12"/>
        <v>14940</v>
      </c>
      <c r="F308" s="9"/>
      <c r="H308"/>
      <c r="I308"/>
      <c r="J308"/>
      <c r="K308"/>
    </row>
    <row r="309" spans="1:11" ht="12.75">
      <c r="A309" s="193">
        <v>16</v>
      </c>
      <c r="B309" s="200" t="s">
        <v>850</v>
      </c>
      <c r="C309" s="258"/>
      <c r="D309" s="158">
        <f t="shared" si="12"/>
        <v>0</v>
      </c>
      <c r="F309" s="9"/>
      <c r="H309"/>
      <c r="I309"/>
      <c r="J309"/>
      <c r="K309"/>
    </row>
    <row r="310" spans="1:11" ht="12.75">
      <c r="A310" s="193">
        <v>17</v>
      </c>
      <c r="B310" s="200" t="s">
        <v>851</v>
      </c>
      <c r="C310" s="258"/>
      <c r="D310" s="158">
        <f t="shared" si="12"/>
        <v>0</v>
      </c>
      <c r="F310" s="9"/>
      <c r="H310"/>
      <c r="I310"/>
      <c r="J310"/>
      <c r="K310"/>
    </row>
    <row r="311" spans="1:11" ht="12.75">
      <c r="A311" s="193">
        <v>18</v>
      </c>
      <c r="B311" s="200" t="s">
        <v>852</v>
      </c>
      <c r="C311" s="258"/>
      <c r="D311" s="158">
        <f t="shared" si="12"/>
        <v>0</v>
      </c>
      <c r="F311" s="9"/>
      <c r="H311"/>
      <c r="I311"/>
      <c r="J311"/>
      <c r="K311"/>
    </row>
    <row r="312" spans="1:11" ht="12.75">
      <c r="A312" s="193">
        <v>19</v>
      </c>
      <c r="B312" s="200" t="s">
        <v>853</v>
      </c>
      <c r="C312" s="258"/>
      <c r="D312" s="158">
        <f t="shared" si="12"/>
        <v>0</v>
      </c>
      <c r="F312" s="9"/>
      <c r="H312"/>
      <c r="I312"/>
      <c r="J312"/>
      <c r="K312"/>
    </row>
    <row r="313" spans="1:11" ht="12.75">
      <c r="A313" s="159"/>
      <c r="B313" s="160" t="s">
        <v>638</v>
      </c>
      <c r="C313" s="158">
        <f>SUM(C294:C312)</f>
        <v>76250</v>
      </c>
      <c r="D313" s="158">
        <f>SUM(D294:D312)</f>
        <v>76250</v>
      </c>
      <c r="H313"/>
      <c r="I313"/>
      <c r="J313"/>
      <c r="K313"/>
    </row>
    <row r="314" spans="8:11" ht="12.75">
      <c r="H314"/>
      <c r="I314"/>
      <c r="J314"/>
      <c r="K314"/>
    </row>
    <row r="315" spans="1:11" ht="12.75">
      <c r="A315" s="157" t="s">
        <v>621</v>
      </c>
      <c r="B315" s="160" t="s">
        <v>990</v>
      </c>
      <c r="C315" s="157" t="s">
        <v>1014</v>
      </c>
      <c r="D315" s="157" t="s">
        <v>88</v>
      </c>
      <c r="H315"/>
      <c r="I315"/>
      <c r="J315"/>
      <c r="K315"/>
    </row>
    <row r="316" spans="1:11" ht="12.75">
      <c r="A316" s="157"/>
      <c r="B316" s="276"/>
      <c r="C316" s="157" t="s">
        <v>1017</v>
      </c>
      <c r="D316" s="157" t="s">
        <v>638</v>
      </c>
      <c r="F316" s="564"/>
      <c r="H316"/>
      <c r="I316"/>
      <c r="J316"/>
      <c r="K316"/>
    </row>
    <row r="317" spans="1:11" ht="12.75">
      <c r="A317" s="277" t="s">
        <v>1002</v>
      </c>
      <c r="F317" s="563"/>
      <c r="H317"/>
      <c r="I317"/>
      <c r="J317"/>
      <c r="K317"/>
    </row>
    <row r="318" spans="1:11" ht="12.75">
      <c r="A318" s="193">
        <v>1</v>
      </c>
      <c r="B318" s="200" t="s">
        <v>854</v>
      </c>
      <c r="C318" s="258"/>
      <c r="D318" s="158">
        <f aca="true" t="shared" si="13" ref="D318:D339">SUM(C318:C318)</f>
        <v>0</v>
      </c>
      <c r="F318" s="9"/>
      <c r="H318"/>
      <c r="I318"/>
      <c r="J318"/>
      <c r="K318"/>
    </row>
    <row r="319" spans="1:11" ht="12.75">
      <c r="A319" s="193">
        <v>2</v>
      </c>
      <c r="B319" s="200" t="s">
        <v>855</v>
      </c>
      <c r="C319" s="258"/>
      <c r="D319" s="158">
        <f t="shared" si="13"/>
        <v>0</v>
      </c>
      <c r="F319" s="9"/>
      <c r="H319"/>
      <c r="I319"/>
      <c r="J319"/>
      <c r="K319"/>
    </row>
    <row r="320" spans="1:11" ht="12.75">
      <c r="A320" s="193">
        <v>3</v>
      </c>
      <c r="B320" s="200" t="s">
        <v>856</v>
      </c>
      <c r="C320" s="258"/>
      <c r="D320" s="158">
        <f t="shared" si="13"/>
        <v>0</v>
      </c>
      <c r="F320" s="9"/>
      <c r="H320"/>
      <c r="I320"/>
      <c r="J320"/>
      <c r="K320"/>
    </row>
    <row r="321" spans="1:11" ht="12.75">
      <c r="A321" s="193">
        <v>4</v>
      </c>
      <c r="B321" s="200" t="s">
        <v>857</v>
      </c>
      <c r="C321" s="258"/>
      <c r="D321" s="158">
        <f t="shared" si="13"/>
        <v>0</v>
      </c>
      <c r="F321" s="9"/>
      <c r="H321"/>
      <c r="I321"/>
      <c r="J321"/>
      <c r="K321"/>
    </row>
    <row r="322" spans="1:11" ht="12.75">
      <c r="A322" s="193">
        <v>5</v>
      </c>
      <c r="B322" s="200" t="s">
        <v>858</v>
      </c>
      <c r="C322" s="258"/>
      <c r="D322" s="158">
        <f t="shared" si="13"/>
        <v>0</v>
      </c>
      <c r="F322" s="9"/>
      <c r="H322"/>
      <c r="I322"/>
      <c r="J322"/>
      <c r="K322"/>
    </row>
    <row r="323" spans="1:11" ht="12.75">
      <c r="A323" s="193">
        <v>6</v>
      </c>
      <c r="B323" s="200" t="s">
        <v>859</v>
      </c>
      <c r="C323" s="258">
        <f>15650-2500</f>
        <v>13150</v>
      </c>
      <c r="D323" s="158">
        <f t="shared" si="13"/>
        <v>13150</v>
      </c>
      <c r="F323" s="9"/>
      <c r="H323"/>
      <c r="I323"/>
      <c r="J323"/>
      <c r="K323"/>
    </row>
    <row r="324" spans="1:11" ht="12.75">
      <c r="A324" s="193">
        <v>7</v>
      </c>
      <c r="B324" s="200" t="s">
        <v>860</v>
      </c>
      <c r="C324" s="258">
        <f>108990-17430</f>
        <v>91560</v>
      </c>
      <c r="D324" s="158">
        <f t="shared" si="13"/>
        <v>91560</v>
      </c>
      <c r="F324" s="9"/>
      <c r="H324"/>
      <c r="I324"/>
      <c r="J324"/>
      <c r="K324"/>
    </row>
    <row r="325" spans="1:11" ht="12.75">
      <c r="A325" s="193">
        <v>8</v>
      </c>
      <c r="B325" s="200" t="s">
        <v>861</v>
      </c>
      <c r="C325" s="258"/>
      <c r="D325" s="158">
        <f t="shared" si="13"/>
        <v>0</v>
      </c>
      <c r="F325" s="9"/>
      <c r="H325"/>
      <c r="I325"/>
      <c r="J325"/>
      <c r="K325"/>
    </row>
    <row r="326" spans="1:11" ht="12.75">
      <c r="A326" s="193">
        <v>9</v>
      </c>
      <c r="B326" s="200" t="s">
        <v>862</v>
      </c>
      <c r="C326" s="258">
        <f>8290-1320</f>
        <v>6970</v>
      </c>
      <c r="D326" s="158">
        <f t="shared" si="13"/>
        <v>6970</v>
      </c>
      <c r="F326" s="9"/>
      <c r="H326"/>
      <c r="I326"/>
      <c r="J326"/>
      <c r="K326"/>
    </row>
    <row r="327" spans="1:11" ht="12.75">
      <c r="A327" s="193">
        <v>10</v>
      </c>
      <c r="B327" s="200" t="s">
        <v>863</v>
      </c>
      <c r="C327" s="258"/>
      <c r="D327" s="158">
        <f t="shared" si="13"/>
        <v>0</v>
      </c>
      <c r="F327" s="9"/>
      <c r="H327"/>
      <c r="I327"/>
      <c r="J327"/>
      <c r="K327"/>
    </row>
    <row r="328" spans="1:11" ht="12.75">
      <c r="A328" s="193">
        <v>11</v>
      </c>
      <c r="B328" s="200" t="s">
        <v>864</v>
      </c>
      <c r="C328" s="258"/>
      <c r="D328" s="158">
        <f t="shared" si="13"/>
        <v>0</v>
      </c>
      <c r="F328" s="9"/>
      <c r="H328"/>
      <c r="I328"/>
      <c r="J328"/>
      <c r="K328"/>
    </row>
    <row r="329" spans="1:11" ht="12.75">
      <c r="A329" s="193">
        <v>12</v>
      </c>
      <c r="B329" s="200" t="s">
        <v>865</v>
      </c>
      <c r="C329" s="258"/>
      <c r="D329" s="158">
        <f t="shared" si="13"/>
        <v>0</v>
      </c>
      <c r="F329" s="9"/>
      <c r="H329"/>
      <c r="I329"/>
      <c r="J329"/>
      <c r="K329"/>
    </row>
    <row r="330" spans="1:11" ht="12.75">
      <c r="A330" s="193">
        <v>13</v>
      </c>
      <c r="B330" s="200" t="s">
        <v>866</v>
      </c>
      <c r="C330" s="258"/>
      <c r="D330" s="158">
        <f t="shared" si="13"/>
        <v>0</v>
      </c>
      <c r="F330" s="9"/>
      <c r="H330"/>
      <c r="I330"/>
      <c r="J330"/>
      <c r="K330"/>
    </row>
    <row r="331" spans="1:11" ht="12.75">
      <c r="A331" s="193">
        <v>14</v>
      </c>
      <c r="B331" s="200" t="s">
        <v>867</v>
      </c>
      <c r="C331" s="258"/>
      <c r="D331" s="158">
        <f t="shared" si="13"/>
        <v>0</v>
      </c>
      <c r="F331" s="9"/>
      <c r="H331"/>
      <c r="I331"/>
      <c r="J331"/>
      <c r="K331"/>
    </row>
    <row r="332" spans="1:11" ht="12.75">
      <c r="A332" s="193">
        <v>15</v>
      </c>
      <c r="B332" s="200" t="s">
        <v>868</v>
      </c>
      <c r="C332" s="258"/>
      <c r="D332" s="158">
        <f t="shared" si="13"/>
        <v>0</v>
      </c>
      <c r="F332" s="9"/>
      <c r="H332"/>
      <c r="I332"/>
      <c r="J332"/>
      <c r="K332"/>
    </row>
    <row r="333" spans="1:11" ht="12.75">
      <c r="A333" s="193">
        <v>16</v>
      </c>
      <c r="B333" s="200" t="s">
        <v>869</v>
      </c>
      <c r="C333" s="258"/>
      <c r="D333" s="158">
        <f t="shared" si="13"/>
        <v>0</v>
      </c>
      <c r="F333" s="9"/>
      <c r="H333"/>
      <c r="I333"/>
      <c r="J333"/>
      <c r="K333"/>
    </row>
    <row r="334" spans="1:11" ht="12.75">
      <c r="A334" s="193">
        <v>17</v>
      </c>
      <c r="B334" s="200" t="s">
        <v>870</v>
      </c>
      <c r="C334" s="258"/>
      <c r="D334" s="158">
        <f t="shared" si="13"/>
        <v>0</v>
      </c>
      <c r="F334" s="9"/>
      <c r="H334"/>
      <c r="I334"/>
      <c r="J334"/>
      <c r="K334"/>
    </row>
    <row r="335" spans="1:11" ht="12.75">
      <c r="A335" s="193">
        <v>18</v>
      </c>
      <c r="B335" s="200" t="s">
        <v>871</v>
      </c>
      <c r="C335" s="258"/>
      <c r="D335" s="158">
        <f t="shared" si="13"/>
        <v>0</v>
      </c>
      <c r="F335" s="9"/>
      <c r="H335"/>
      <c r="I335"/>
      <c r="J335"/>
      <c r="K335"/>
    </row>
    <row r="336" spans="1:11" ht="12.75">
      <c r="A336" s="193">
        <v>19</v>
      </c>
      <c r="B336" s="200" t="s">
        <v>872</v>
      </c>
      <c r="C336" s="258"/>
      <c r="D336" s="158">
        <f t="shared" si="13"/>
        <v>0</v>
      </c>
      <c r="F336" s="9"/>
      <c r="H336"/>
      <c r="I336"/>
      <c r="J336"/>
      <c r="K336"/>
    </row>
    <row r="337" spans="1:11" ht="12.75">
      <c r="A337" s="193">
        <v>20</v>
      </c>
      <c r="B337" s="200" t="s">
        <v>873</v>
      </c>
      <c r="C337" s="258"/>
      <c r="D337" s="158">
        <f t="shared" si="13"/>
        <v>0</v>
      </c>
      <c r="F337" s="9"/>
      <c r="H337"/>
      <c r="I337"/>
      <c r="J337"/>
      <c r="K337"/>
    </row>
    <row r="338" spans="1:11" ht="12.75">
      <c r="A338" s="193">
        <v>21</v>
      </c>
      <c r="B338" s="200" t="s">
        <v>874</v>
      </c>
      <c r="C338" s="258">
        <f>113570-18170</f>
        <v>95400</v>
      </c>
      <c r="D338" s="158">
        <f t="shared" si="13"/>
        <v>95400</v>
      </c>
      <c r="F338" s="9"/>
      <c r="H338"/>
      <c r="I338"/>
      <c r="J338"/>
      <c r="K338"/>
    </row>
    <row r="339" spans="1:11" ht="12.75">
      <c r="A339" s="193" t="s">
        <v>106</v>
      </c>
      <c r="B339" s="200" t="s">
        <v>117</v>
      </c>
      <c r="C339" s="258">
        <f>351000-56160-68100</f>
        <v>226740</v>
      </c>
      <c r="D339" s="158">
        <f t="shared" si="13"/>
        <v>226740</v>
      </c>
      <c r="F339" s="9"/>
      <c r="H339"/>
      <c r="I339"/>
      <c r="J339"/>
      <c r="K339"/>
    </row>
    <row r="340" spans="1:11" ht="12.75">
      <c r="A340" s="159"/>
      <c r="B340" s="160" t="s">
        <v>638</v>
      </c>
      <c r="C340" s="158">
        <f>SUM(C318:C339)</f>
        <v>433820</v>
      </c>
      <c r="D340" s="158">
        <f>SUM(D318:D339)</f>
        <v>433820</v>
      </c>
      <c r="H340"/>
      <c r="I340"/>
      <c r="J340"/>
      <c r="K340"/>
    </row>
    <row r="341" ht="12.75"/>
    <row r="342" spans="1:3" ht="12.75">
      <c r="A342" s="87" t="str">
        <f>+A286</f>
        <v> </v>
      </c>
      <c r="C342" s="57" t="s">
        <v>372</v>
      </c>
    </row>
    <row r="343" spans="1:8" ht="12.75">
      <c r="A343" s="764" t="s">
        <v>383</v>
      </c>
      <c r="B343" s="764"/>
      <c r="C343" s="764"/>
      <c r="D343" s="764"/>
      <c r="E343" s="14"/>
      <c r="F343" s="14"/>
      <c r="G343" s="14"/>
      <c r="H343" s="14"/>
    </row>
    <row r="344" spans="1:2" ht="12.75">
      <c r="A344" s="91" t="s">
        <v>512</v>
      </c>
      <c r="B344" s="14" t="s">
        <v>420</v>
      </c>
    </row>
    <row r="345" spans="1:2" ht="12.75">
      <c r="A345" s="33" t="s">
        <v>1012</v>
      </c>
      <c r="B345" s="14"/>
    </row>
    <row r="346" ht="12.75"/>
    <row r="347" ht="12.75"/>
    <row r="348" spans="1:11" ht="12.75">
      <c r="A348" s="157" t="s">
        <v>621</v>
      </c>
      <c r="B348" s="160" t="s">
        <v>1016</v>
      </c>
      <c r="C348" s="157" t="s">
        <v>1014</v>
      </c>
      <c r="D348" s="157" t="s">
        <v>88</v>
      </c>
      <c r="H348"/>
      <c r="I348"/>
      <c r="J348"/>
      <c r="K348"/>
    </row>
    <row r="349" spans="1:11" ht="12.75">
      <c r="A349" s="157"/>
      <c r="B349" s="276"/>
      <c r="C349" s="157" t="s">
        <v>1017</v>
      </c>
      <c r="D349" s="157" t="s">
        <v>638</v>
      </c>
      <c r="H349"/>
      <c r="I349"/>
      <c r="J349"/>
      <c r="K349"/>
    </row>
    <row r="350" spans="1:11" ht="12.75">
      <c r="A350" s="277" t="s">
        <v>1003</v>
      </c>
      <c r="H350"/>
      <c r="I350"/>
      <c r="J350"/>
      <c r="K350"/>
    </row>
    <row r="351" spans="1:11" ht="12.75">
      <c r="A351" s="193">
        <v>1</v>
      </c>
      <c r="B351" s="200" t="s">
        <v>875</v>
      </c>
      <c r="C351" s="258"/>
      <c r="D351" s="158">
        <f aca="true" t="shared" si="14" ref="D351:D361">SUM(C351:C351)</f>
        <v>0</v>
      </c>
      <c r="F351" s="9"/>
      <c r="H351"/>
      <c r="I351"/>
      <c r="J351"/>
      <c r="K351"/>
    </row>
    <row r="352" spans="1:11" ht="12.75">
      <c r="A352" s="193">
        <v>2</v>
      </c>
      <c r="B352" s="200" t="s">
        <v>876</v>
      </c>
      <c r="C352" s="258"/>
      <c r="D352" s="158">
        <f t="shared" si="14"/>
        <v>0</v>
      </c>
      <c r="F352" s="9"/>
      <c r="H352"/>
      <c r="I352"/>
      <c r="J352"/>
      <c r="K352"/>
    </row>
    <row r="353" spans="1:11" ht="12.75">
      <c r="A353" s="193">
        <v>3</v>
      </c>
      <c r="B353" s="200" t="s">
        <v>877</v>
      </c>
      <c r="C353" s="258"/>
      <c r="D353" s="158">
        <f t="shared" si="14"/>
        <v>0</v>
      </c>
      <c r="F353" s="9"/>
      <c r="H353"/>
      <c r="I353"/>
      <c r="J353"/>
      <c r="K353"/>
    </row>
    <row r="354" spans="1:11" ht="12.75">
      <c r="A354" s="193">
        <v>4</v>
      </c>
      <c r="B354" s="200" t="s">
        <v>878</v>
      </c>
      <c r="C354" s="258"/>
      <c r="D354" s="158">
        <f t="shared" si="14"/>
        <v>0</v>
      </c>
      <c r="F354" s="9"/>
      <c r="H354"/>
      <c r="I354"/>
      <c r="J354"/>
      <c r="K354"/>
    </row>
    <row r="355" spans="1:11" ht="12.75">
      <c r="A355" s="193">
        <v>5</v>
      </c>
      <c r="B355" s="200" t="s">
        <v>879</v>
      </c>
      <c r="C355" s="258"/>
      <c r="D355" s="158">
        <f t="shared" si="14"/>
        <v>0</v>
      </c>
      <c r="F355" s="9"/>
      <c r="H355"/>
      <c r="I355"/>
      <c r="J355"/>
      <c r="K355"/>
    </row>
    <row r="356" spans="1:11" ht="12.75">
      <c r="A356" s="193">
        <v>6</v>
      </c>
      <c r="B356" s="200" t="s">
        <v>880</v>
      </c>
      <c r="C356" s="258"/>
      <c r="D356" s="158">
        <f t="shared" si="14"/>
        <v>0</v>
      </c>
      <c r="F356" s="9"/>
      <c r="H356"/>
      <c r="I356"/>
      <c r="J356"/>
      <c r="K356"/>
    </row>
    <row r="357" spans="1:11" ht="12.75">
      <c r="A357" s="193">
        <v>7</v>
      </c>
      <c r="B357" s="200" t="s">
        <v>893</v>
      </c>
      <c r="C357" s="258"/>
      <c r="D357" s="158">
        <f t="shared" si="14"/>
        <v>0</v>
      </c>
      <c r="F357" s="9"/>
      <c r="H357"/>
      <c r="I357"/>
      <c r="J357"/>
      <c r="K357"/>
    </row>
    <row r="358" spans="1:11" ht="12.75">
      <c r="A358" s="193">
        <v>8</v>
      </c>
      <c r="B358" s="200" t="s">
        <v>894</v>
      </c>
      <c r="C358" s="258">
        <f>2000-320</f>
        <v>1680</v>
      </c>
      <c r="D358" s="158">
        <f t="shared" si="14"/>
        <v>1680</v>
      </c>
      <c r="F358" s="9"/>
      <c r="H358"/>
      <c r="I358"/>
      <c r="J358"/>
      <c r="K358"/>
    </row>
    <row r="359" spans="1:11" ht="12.75">
      <c r="A359" s="193">
        <v>9</v>
      </c>
      <c r="B359" s="200" t="s">
        <v>897</v>
      </c>
      <c r="C359" s="258"/>
      <c r="D359" s="158">
        <f t="shared" si="14"/>
        <v>0</v>
      </c>
      <c r="F359" s="9"/>
      <c r="H359"/>
      <c r="I359"/>
      <c r="J359"/>
      <c r="K359"/>
    </row>
    <row r="360" spans="1:11" ht="12.75">
      <c r="A360" s="193">
        <v>10</v>
      </c>
      <c r="B360" s="200" t="s">
        <v>895</v>
      </c>
      <c r="C360" s="258">
        <f>300-40</f>
        <v>260</v>
      </c>
      <c r="D360" s="158">
        <f t="shared" si="14"/>
        <v>260</v>
      </c>
      <c r="F360" s="9"/>
      <c r="H360"/>
      <c r="I360"/>
      <c r="J360"/>
      <c r="K360"/>
    </row>
    <row r="361" spans="1:11" ht="12.75">
      <c r="A361" s="193" t="s">
        <v>911</v>
      </c>
      <c r="B361" s="200" t="s">
        <v>738</v>
      </c>
      <c r="C361" s="258">
        <f>2500-400</f>
        <v>2100</v>
      </c>
      <c r="D361" s="158">
        <f t="shared" si="14"/>
        <v>2100</v>
      </c>
      <c r="F361" s="9"/>
      <c r="H361"/>
      <c r="I361"/>
      <c r="J361"/>
      <c r="K361"/>
    </row>
    <row r="362" spans="1:11" ht="12.75">
      <c r="A362" s="159"/>
      <c r="B362" s="160" t="s">
        <v>638</v>
      </c>
      <c r="C362" s="158">
        <f>SUM(C351:C361)</f>
        <v>4040</v>
      </c>
      <c r="D362" s="158">
        <f>SUM(D351:D361)</f>
        <v>4040</v>
      </c>
      <c r="H362"/>
      <c r="I362"/>
      <c r="J362"/>
      <c r="K362"/>
    </row>
    <row r="363" ht="12.75"/>
    <row r="364" spans="1:4" ht="12.75">
      <c r="A364" s="87" t="str">
        <f>+A286</f>
        <v> </v>
      </c>
      <c r="B364" s="84"/>
      <c r="C364" s="107" t="s">
        <v>363</v>
      </c>
      <c r="D364" s="84"/>
    </row>
    <row r="365" spans="1:6" ht="12.75">
      <c r="A365" s="778" t="s">
        <v>383</v>
      </c>
      <c r="B365" s="778"/>
      <c r="C365" s="778"/>
      <c r="D365" s="778"/>
      <c r="E365" s="14"/>
      <c r="F365" s="14"/>
    </row>
    <row r="366" spans="1:4" ht="12.75">
      <c r="A366" s="91" t="str">
        <f>+A288</f>
        <v>Juris.:</v>
      </c>
      <c r="B366" s="83" t="s">
        <v>1019</v>
      </c>
      <c r="C366" s="84"/>
      <c r="D366" s="84"/>
    </row>
    <row r="367" spans="1:2" ht="12.75">
      <c r="A367" s="33" t="s">
        <v>1012</v>
      </c>
      <c r="B367" s="14"/>
    </row>
    <row r="368" ht="12.75">
      <c r="L368" s="48"/>
    </row>
    <row r="369" spans="1:11" ht="12.75">
      <c r="A369" s="157" t="s">
        <v>621</v>
      </c>
      <c r="B369" s="160" t="s">
        <v>996</v>
      </c>
      <c r="C369" s="157" t="s">
        <v>1014</v>
      </c>
      <c r="D369" s="157" t="s">
        <v>697</v>
      </c>
      <c r="J369"/>
      <c r="K369"/>
    </row>
    <row r="370" spans="1:11" ht="12.75">
      <c r="A370" s="157"/>
      <c r="B370" s="276"/>
      <c r="C370" s="157" t="s">
        <v>1018</v>
      </c>
      <c r="D370" s="157" t="s">
        <v>638</v>
      </c>
      <c r="F370" s="564"/>
      <c r="J370"/>
      <c r="K370"/>
    </row>
    <row r="371" spans="1:11" ht="12.75">
      <c r="A371" s="277" t="s">
        <v>995</v>
      </c>
      <c r="F371" s="563"/>
      <c r="J371"/>
      <c r="K371"/>
    </row>
    <row r="372" spans="1:11" ht="12.75">
      <c r="A372" s="197" t="s">
        <v>666</v>
      </c>
      <c r="B372" s="200" t="s">
        <v>667</v>
      </c>
      <c r="C372" s="258">
        <f>549480-81970</f>
        <v>467510</v>
      </c>
      <c r="D372" s="158">
        <f aca="true" t="shared" si="15" ref="D372:D385">SUM(C372:C372)</f>
        <v>467510</v>
      </c>
      <c r="F372" s="9"/>
      <c r="G372" s="9"/>
      <c r="J372"/>
      <c r="K372"/>
    </row>
    <row r="373" spans="1:11" ht="12.75">
      <c r="A373" s="197" t="s">
        <v>668</v>
      </c>
      <c r="B373" s="200" t="s">
        <v>669</v>
      </c>
      <c r="C373" s="258">
        <f>124230-7960</f>
        <v>116270</v>
      </c>
      <c r="D373" s="158">
        <f t="shared" si="15"/>
        <v>116270</v>
      </c>
      <c r="F373" s="9"/>
      <c r="G373" s="9"/>
      <c r="J373"/>
      <c r="K373"/>
    </row>
    <row r="374" spans="1:11" ht="12.75">
      <c r="A374" s="197" t="s">
        <v>670</v>
      </c>
      <c r="B374" s="200" t="s">
        <v>726</v>
      </c>
      <c r="C374" s="258">
        <v>0</v>
      </c>
      <c r="D374" s="158">
        <f t="shared" si="15"/>
        <v>0</v>
      </c>
      <c r="F374" s="9"/>
      <c r="G374" s="9"/>
      <c r="J374"/>
      <c r="K374"/>
    </row>
    <row r="375" spans="1:11" ht="12.75">
      <c r="A375" s="197" t="s">
        <v>672</v>
      </c>
      <c r="B375" s="200" t="s">
        <v>671</v>
      </c>
      <c r="C375" s="258">
        <f>128970-8150</f>
        <v>120820</v>
      </c>
      <c r="D375" s="158">
        <f t="shared" si="15"/>
        <v>120820</v>
      </c>
      <c r="F375" s="9"/>
      <c r="G375" s="9"/>
      <c r="J375"/>
      <c r="K375"/>
    </row>
    <row r="376" spans="1:11" ht="12.75">
      <c r="A376" s="197" t="s">
        <v>673</v>
      </c>
      <c r="B376" s="200" t="s">
        <v>674</v>
      </c>
      <c r="C376" s="258">
        <f>422060-263880</f>
        <v>158180</v>
      </c>
      <c r="D376" s="158">
        <f t="shared" si="15"/>
        <v>158180</v>
      </c>
      <c r="F376" s="9"/>
      <c r="G376" s="9"/>
      <c r="J376"/>
      <c r="K376"/>
    </row>
    <row r="377" spans="1:11" ht="12.75">
      <c r="A377" s="197" t="s">
        <v>675</v>
      </c>
      <c r="B377" s="200" t="s">
        <v>727</v>
      </c>
      <c r="C377" s="258">
        <f>8580-340</f>
        <v>8240</v>
      </c>
      <c r="D377" s="158">
        <f t="shared" si="15"/>
        <v>8240</v>
      </c>
      <c r="F377" s="9"/>
      <c r="G377" s="9"/>
      <c r="J377"/>
      <c r="K377"/>
    </row>
    <row r="378" spans="1:11" ht="12.75">
      <c r="A378" s="197" t="s">
        <v>677</v>
      </c>
      <c r="B378" s="200" t="s">
        <v>676</v>
      </c>
      <c r="C378" s="258">
        <f>120700-7820</f>
        <v>112880</v>
      </c>
      <c r="D378" s="158">
        <f t="shared" si="15"/>
        <v>112880</v>
      </c>
      <c r="F378" s="9"/>
      <c r="G378" s="9"/>
      <c r="J378"/>
      <c r="K378"/>
    </row>
    <row r="379" spans="1:11" ht="12.75">
      <c r="A379" s="197" t="s">
        <v>679</v>
      </c>
      <c r="B379" s="200" t="s">
        <v>678</v>
      </c>
      <c r="C379" s="258">
        <f>55330-2210</f>
        <v>53120</v>
      </c>
      <c r="D379" s="158">
        <f t="shared" si="15"/>
        <v>53120</v>
      </c>
      <c r="F379" s="9"/>
      <c r="G379" s="9"/>
      <c r="J379"/>
      <c r="K379"/>
    </row>
    <row r="380" spans="1:11" ht="12.75">
      <c r="A380" s="197" t="s">
        <v>680</v>
      </c>
      <c r="B380" s="200" t="s">
        <v>728</v>
      </c>
      <c r="C380" s="258">
        <f>96780-3870</f>
        <v>92910</v>
      </c>
      <c r="D380" s="158">
        <f t="shared" si="15"/>
        <v>92910</v>
      </c>
      <c r="F380" s="9"/>
      <c r="G380" s="9"/>
      <c r="J380"/>
      <c r="K380"/>
    </row>
    <row r="381" spans="1:11" ht="12.75">
      <c r="A381" s="197" t="s">
        <v>681</v>
      </c>
      <c r="B381" s="200" t="s">
        <v>730</v>
      </c>
      <c r="C381" s="258">
        <f>135740-7430</f>
        <v>128310</v>
      </c>
      <c r="D381" s="158">
        <f t="shared" si="15"/>
        <v>128310</v>
      </c>
      <c r="F381" s="9"/>
      <c r="G381" s="9"/>
      <c r="J381"/>
      <c r="K381"/>
    </row>
    <row r="382" spans="1:11" ht="12.75">
      <c r="A382" s="197" t="s">
        <v>725</v>
      </c>
      <c r="B382" s="200" t="s">
        <v>731</v>
      </c>
      <c r="C382" s="258">
        <f>128730-8140</f>
        <v>120590</v>
      </c>
      <c r="D382" s="158">
        <f t="shared" si="15"/>
        <v>120590</v>
      </c>
      <c r="F382" s="9"/>
      <c r="G382" s="9"/>
      <c r="J382"/>
      <c r="K382"/>
    </row>
    <row r="383" spans="1:11" ht="12.75">
      <c r="A383" s="197" t="s">
        <v>729</v>
      </c>
      <c r="B383" s="200" t="s">
        <v>732</v>
      </c>
      <c r="C383" s="258">
        <f>76890-5070</f>
        <v>71820</v>
      </c>
      <c r="D383" s="158">
        <f t="shared" si="15"/>
        <v>71820</v>
      </c>
      <c r="F383" s="9"/>
      <c r="G383" s="9"/>
      <c r="J383"/>
      <c r="K383"/>
    </row>
    <row r="384" spans="1:11" ht="12.75">
      <c r="A384" s="197" t="s">
        <v>733</v>
      </c>
      <c r="B384" s="200" t="s">
        <v>735</v>
      </c>
      <c r="C384" s="258">
        <f>14140-560</f>
        <v>13580</v>
      </c>
      <c r="D384" s="158">
        <f t="shared" si="15"/>
        <v>13580</v>
      </c>
      <c r="F384" s="9"/>
      <c r="G384" s="9"/>
      <c r="J384"/>
      <c r="K384"/>
    </row>
    <row r="385" spans="1:11" ht="12.75">
      <c r="A385" s="197" t="s">
        <v>734</v>
      </c>
      <c r="B385" s="200" t="s">
        <v>736</v>
      </c>
      <c r="C385" s="258">
        <v>0</v>
      </c>
      <c r="D385" s="158">
        <f t="shared" si="15"/>
        <v>0</v>
      </c>
      <c r="F385" s="9"/>
      <c r="G385" s="9"/>
      <c r="J385"/>
      <c r="K385"/>
    </row>
    <row r="386" spans="1:11" ht="12.75">
      <c r="A386" s="159"/>
      <c r="B386" s="160" t="s">
        <v>638</v>
      </c>
      <c r="C386" s="158">
        <f>SUM(C372:C385)</f>
        <v>1464230</v>
      </c>
      <c r="D386" s="158">
        <f>SUM(D372:D385)</f>
        <v>1464230</v>
      </c>
      <c r="F386" s="75"/>
      <c r="G386" s="9"/>
      <c r="J386"/>
      <c r="K386"/>
    </row>
    <row r="387" spans="8:9" ht="9" customHeight="1">
      <c r="H387" s="75"/>
      <c r="I387" s="9"/>
    </row>
    <row r="388" spans="1:11" ht="12.75">
      <c r="A388" s="157" t="s">
        <v>621</v>
      </c>
      <c r="B388" s="160" t="s">
        <v>998</v>
      </c>
      <c r="C388" s="157" t="s">
        <v>1014</v>
      </c>
      <c r="D388" s="157" t="s">
        <v>697</v>
      </c>
      <c r="F388" s="75"/>
      <c r="G388" s="9"/>
      <c r="J388"/>
      <c r="K388"/>
    </row>
    <row r="389" spans="1:11" ht="12.75">
      <c r="A389" s="157"/>
      <c r="B389" s="276"/>
      <c r="C389" s="157" t="s">
        <v>1018</v>
      </c>
      <c r="D389" s="157" t="s">
        <v>638</v>
      </c>
      <c r="J389"/>
      <c r="K389"/>
    </row>
    <row r="390" spans="1:11" ht="12.75">
      <c r="A390" s="277" t="s">
        <v>999</v>
      </c>
      <c r="J390"/>
      <c r="K390"/>
    </row>
    <row r="391" spans="1:11" ht="12.75">
      <c r="A391" s="197" t="s">
        <v>666</v>
      </c>
      <c r="B391" s="200" t="s">
        <v>667</v>
      </c>
      <c r="C391" s="258">
        <f>89820-3590</f>
        <v>86230</v>
      </c>
      <c r="D391" s="158">
        <f aca="true" t="shared" si="16" ref="D391:D404">SUM(C391:C391)</f>
        <v>86230</v>
      </c>
      <c r="F391" s="9"/>
      <c r="J391"/>
      <c r="K391"/>
    </row>
    <row r="392" spans="1:11" ht="12.75">
      <c r="A392" s="197" t="s">
        <v>668</v>
      </c>
      <c r="B392" s="200" t="s">
        <v>669</v>
      </c>
      <c r="C392" s="258">
        <f>5180-200</f>
        <v>4980</v>
      </c>
      <c r="D392" s="158">
        <f t="shared" si="16"/>
        <v>4980</v>
      </c>
      <c r="F392" s="9"/>
      <c r="J392"/>
      <c r="K392"/>
    </row>
    <row r="393" spans="1:11" ht="12.75">
      <c r="A393" s="197" t="s">
        <v>670</v>
      </c>
      <c r="B393" s="200" t="s">
        <v>726</v>
      </c>
      <c r="C393" s="258">
        <v>0</v>
      </c>
      <c r="D393" s="158">
        <f t="shared" si="16"/>
        <v>0</v>
      </c>
      <c r="F393" s="9"/>
      <c r="J393"/>
      <c r="K393"/>
    </row>
    <row r="394" spans="1:11" ht="12.75">
      <c r="A394" s="197" t="s">
        <v>672</v>
      </c>
      <c r="B394" s="200" t="s">
        <v>671</v>
      </c>
      <c r="C394" s="258">
        <v>0</v>
      </c>
      <c r="D394" s="158">
        <f t="shared" si="16"/>
        <v>0</v>
      </c>
      <c r="F394" s="9"/>
      <c r="J394"/>
      <c r="K394"/>
    </row>
    <row r="395" spans="1:11" ht="12.75">
      <c r="A395" s="197" t="s">
        <v>673</v>
      </c>
      <c r="B395" s="200" t="s">
        <v>674</v>
      </c>
      <c r="C395" s="258">
        <f>63540-2540</f>
        <v>61000</v>
      </c>
      <c r="D395" s="158">
        <f t="shared" si="16"/>
        <v>61000</v>
      </c>
      <c r="F395" s="9"/>
      <c r="J395"/>
      <c r="K395"/>
    </row>
    <row r="396" spans="1:11" ht="12.75">
      <c r="A396" s="197" t="s">
        <v>675</v>
      </c>
      <c r="B396" s="200" t="s">
        <v>727</v>
      </c>
      <c r="C396" s="258">
        <f>3710-140</f>
        <v>3570</v>
      </c>
      <c r="D396" s="158">
        <f t="shared" si="16"/>
        <v>3570</v>
      </c>
      <c r="F396" s="9"/>
      <c r="J396"/>
      <c r="K396"/>
    </row>
    <row r="397" spans="1:11" ht="12.75">
      <c r="A397" s="197" t="s">
        <v>677</v>
      </c>
      <c r="B397" s="200" t="s">
        <v>676</v>
      </c>
      <c r="C397" s="258">
        <f>24840-990</f>
        <v>23850</v>
      </c>
      <c r="D397" s="158">
        <f t="shared" si="16"/>
        <v>23850</v>
      </c>
      <c r="F397" s="9"/>
      <c r="J397"/>
      <c r="K397"/>
    </row>
    <row r="398" spans="1:11" ht="12.75">
      <c r="A398" s="197" t="s">
        <v>679</v>
      </c>
      <c r="B398" s="200" t="s">
        <v>678</v>
      </c>
      <c r="C398" s="258">
        <f>11050-440</f>
        <v>10610</v>
      </c>
      <c r="D398" s="158">
        <f t="shared" si="16"/>
        <v>10610</v>
      </c>
      <c r="F398" s="9"/>
      <c r="J398"/>
      <c r="K398"/>
    </row>
    <row r="399" spans="1:11" ht="12.75">
      <c r="A399" s="197" t="s">
        <v>680</v>
      </c>
      <c r="B399" s="200" t="s">
        <v>728</v>
      </c>
      <c r="C399" s="258">
        <f>1720-60</f>
        <v>1660</v>
      </c>
      <c r="D399" s="158">
        <f t="shared" si="16"/>
        <v>1660</v>
      </c>
      <c r="F399" s="9"/>
      <c r="J399"/>
      <c r="K399"/>
    </row>
    <row r="400" spans="1:11" ht="12.75">
      <c r="A400" s="197" t="s">
        <v>681</v>
      </c>
      <c r="B400" s="200" t="s">
        <v>730</v>
      </c>
      <c r="C400" s="258">
        <f>45990-1840</f>
        <v>44150</v>
      </c>
      <c r="D400" s="158">
        <f t="shared" si="16"/>
        <v>44150</v>
      </c>
      <c r="F400" s="9"/>
      <c r="J400"/>
      <c r="K400"/>
    </row>
    <row r="401" spans="1:11" ht="12.75">
      <c r="A401" s="197" t="s">
        <v>725</v>
      </c>
      <c r="B401" s="200" t="s">
        <v>731</v>
      </c>
      <c r="C401" s="258">
        <f>22170-880</f>
        <v>21290</v>
      </c>
      <c r="D401" s="158">
        <f t="shared" si="16"/>
        <v>21290</v>
      </c>
      <c r="F401" s="9"/>
      <c r="J401"/>
      <c r="K401"/>
    </row>
    <row r="402" spans="1:11" ht="12.75">
      <c r="A402" s="197" t="s">
        <v>729</v>
      </c>
      <c r="B402" s="200" t="s">
        <v>732</v>
      </c>
      <c r="C402" s="258">
        <f>13040-5250</f>
        <v>7790</v>
      </c>
      <c r="D402" s="158">
        <f t="shared" si="16"/>
        <v>7790</v>
      </c>
      <c r="F402" s="9"/>
      <c r="J402"/>
      <c r="K402"/>
    </row>
    <row r="403" spans="1:11" ht="12.75">
      <c r="A403" s="197" t="s">
        <v>733</v>
      </c>
      <c r="B403" s="200" t="s">
        <v>735</v>
      </c>
      <c r="C403" s="258">
        <f>2910-110</f>
        <v>2800</v>
      </c>
      <c r="D403" s="158">
        <f t="shared" si="16"/>
        <v>2800</v>
      </c>
      <c r="F403" s="9"/>
      <c r="J403"/>
      <c r="K403"/>
    </row>
    <row r="404" spans="1:11" ht="12.75">
      <c r="A404" s="197" t="s">
        <v>734</v>
      </c>
      <c r="B404" s="200" t="s">
        <v>736</v>
      </c>
      <c r="C404" s="258">
        <v>0</v>
      </c>
      <c r="D404" s="158">
        <f t="shared" si="16"/>
        <v>0</v>
      </c>
      <c r="F404" s="9"/>
      <c r="J404"/>
      <c r="K404"/>
    </row>
    <row r="405" spans="1:11" ht="12.75">
      <c r="A405" s="159"/>
      <c r="B405" s="160" t="s">
        <v>638</v>
      </c>
      <c r="C405" s="158">
        <f>SUM(C391:C404)</f>
        <v>267930</v>
      </c>
      <c r="D405" s="158">
        <f>SUM(D391:D404)</f>
        <v>267930</v>
      </c>
      <c r="E405" s="9"/>
      <c r="J405"/>
      <c r="K405"/>
    </row>
    <row r="406" ht="12.75">
      <c r="A406" s="100" t="s">
        <v>385</v>
      </c>
    </row>
    <row r="407" ht="12.75"/>
    <row r="408" spans="1:3" ht="12.75">
      <c r="A408" s="48" t="str">
        <f>+A364</f>
        <v> </v>
      </c>
      <c r="C408" s="33" t="s">
        <v>363</v>
      </c>
    </row>
    <row r="409" spans="1:6" ht="12.75">
      <c r="A409" s="764" t="s">
        <v>383</v>
      </c>
      <c r="B409" s="764"/>
      <c r="C409" s="764"/>
      <c r="D409" s="764"/>
      <c r="E409" s="14"/>
      <c r="F409" s="14"/>
    </row>
    <row r="410" spans="1:2" ht="12.75">
      <c r="A410" s="33" t="str">
        <f>+A366</f>
        <v>Juris.:</v>
      </c>
      <c r="B410" s="14" t="s">
        <v>1019</v>
      </c>
    </row>
    <row r="411" spans="1:2" ht="12.75">
      <c r="A411" s="33" t="s">
        <v>1012</v>
      </c>
      <c r="B411" s="14"/>
    </row>
    <row r="412" ht="12.75"/>
    <row r="413" spans="1:11" ht="12.75">
      <c r="A413" s="157" t="s">
        <v>621</v>
      </c>
      <c r="B413" s="160" t="s">
        <v>1001</v>
      </c>
      <c r="C413" s="157" t="s">
        <v>1014</v>
      </c>
      <c r="D413" s="157" t="s">
        <v>697</v>
      </c>
      <c r="J413"/>
      <c r="K413"/>
    </row>
    <row r="414" spans="1:11" ht="12.75">
      <c r="A414" s="157"/>
      <c r="B414" s="276"/>
      <c r="C414" s="157" t="s">
        <v>1018</v>
      </c>
      <c r="D414" s="157" t="s">
        <v>638</v>
      </c>
      <c r="F414" s="564"/>
      <c r="J414"/>
      <c r="K414"/>
    </row>
    <row r="415" spans="1:11" ht="12.75">
      <c r="A415" s="277" t="s">
        <v>1000</v>
      </c>
      <c r="J415"/>
      <c r="K415"/>
    </row>
    <row r="416" spans="1:11" ht="12.75">
      <c r="A416" s="193">
        <v>1</v>
      </c>
      <c r="B416" s="200" t="s">
        <v>834</v>
      </c>
      <c r="C416" s="258">
        <f>13000-2080</f>
        <v>10920</v>
      </c>
      <c r="D416" s="158">
        <f aca="true" t="shared" si="17" ref="D416:D434">SUM(C416:C416)</f>
        <v>10920</v>
      </c>
      <c r="F416" s="9"/>
      <c r="J416"/>
      <c r="K416"/>
    </row>
    <row r="417" spans="1:11" ht="12.75">
      <c r="A417" s="193">
        <v>2</v>
      </c>
      <c r="B417" s="200" t="s">
        <v>835</v>
      </c>
      <c r="C417" s="258"/>
      <c r="D417" s="158">
        <f t="shared" si="17"/>
        <v>0</v>
      </c>
      <c r="F417" s="9"/>
      <c r="J417"/>
      <c r="K417"/>
    </row>
    <row r="418" spans="1:11" ht="12.75">
      <c r="A418" s="193">
        <v>3</v>
      </c>
      <c r="B418" s="200" t="s">
        <v>836</v>
      </c>
      <c r="C418" s="258">
        <f>2000-320+140</f>
        <v>1820</v>
      </c>
      <c r="D418" s="158">
        <f t="shared" si="17"/>
        <v>1820</v>
      </c>
      <c r="F418" s="9"/>
      <c r="J418"/>
      <c r="K418"/>
    </row>
    <row r="419" spans="1:11" ht="12.75">
      <c r="A419" s="193">
        <v>4</v>
      </c>
      <c r="B419" s="200" t="s">
        <v>837</v>
      </c>
      <c r="C419" s="258"/>
      <c r="D419" s="158">
        <f t="shared" si="17"/>
        <v>0</v>
      </c>
      <c r="F419" s="9"/>
      <c r="J419"/>
      <c r="K419"/>
    </row>
    <row r="420" spans="1:11" ht="12.75">
      <c r="A420" s="193">
        <v>5</v>
      </c>
      <c r="B420" s="200" t="s">
        <v>838</v>
      </c>
      <c r="C420" s="258">
        <f>15000-2400+100</f>
        <v>12700</v>
      </c>
      <c r="D420" s="158">
        <f t="shared" si="17"/>
        <v>12700</v>
      </c>
      <c r="F420" s="9"/>
      <c r="J420"/>
      <c r="K420"/>
    </row>
    <row r="421" spans="1:11" ht="12.75">
      <c r="A421" s="193">
        <v>6</v>
      </c>
      <c r="B421" s="200" t="s">
        <v>839</v>
      </c>
      <c r="C421" s="258">
        <f>22000-3520</f>
        <v>18480</v>
      </c>
      <c r="D421" s="158">
        <f t="shared" si="17"/>
        <v>18480</v>
      </c>
      <c r="F421" s="9"/>
      <c r="J421"/>
      <c r="K421"/>
    </row>
    <row r="422" spans="1:11" ht="12.75">
      <c r="A422" s="193">
        <v>7</v>
      </c>
      <c r="B422" s="200" t="s">
        <v>840</v>
      </c>
      <c r="C422" s="258"/>
      <c r="D422" s="158">
        <f t="shared" si="17"/>
        <v>0</v>
      </c>
      <c r="F422" s="9"/>
      <c r="J422"/>
      <c r="K422"/>
    </row>
    <row r="423" spans="1:11" ht="12.75">
      <c r="A423" s="193">
        <v>8</v>
      </c>
      <c r="B423" s="200" t="s">
        <v>842</v>
      </c>
      <c r="C423" s="258"/>
      <c r="D423" s="158">
        <f t="shared" si="17"/>
        <v>0</v>
      </c>
      <c r="F423" s="9"/>
      <c r="J423"/>
      <c r="K423"/>
    </row>
    <row r="424" spans="1:11" ht="12.75">
      <c r="A424" s="193">
        <v>9</v>
      </c>
      <c r="B424" s="200" t="s">
        <v>843</v>
      </c>
      <c r="C424" s="258">
        <f>22000-3520</f>
        <v>18480</v>
      </c>
      <c r="D424" s="158">
        <f t="shared" si="17"/>
        <v>18480</v>
      </c>
      <c r="F424" s="9"/>
      <c r="J424"/>
      <c r="K424"/>
    </row>
    <row r="425" spans="1:11" ht="12.75">
      <c r="A425" s="193">
        <v>10</v>
      </c>
      <c r="B425" s="200" t="s">
        <v>844</v>
      </c>
      <c r="C425" s="258">
        <f>9000-1440</f>
        <v>7560</v>
      </c>
      <c r="D425" s="158">
        <f t="shared" si="17"/>
        <v>7560</v>
      </c>
      <c r="F425" s="9"/>
      <c r="J425"/>
      <c r="K425"/>
    </row>
    <row r="426" spans="1:11" ht="12.75">
      <c r="A426" s="193">
        <v>11</v>
      </c>
      <c r="B426" s="200" t="s">
        <v>845</v>
      </c>
      <c r="C426" s="258">
        <f>60000-9600-16000</f>
        <v>34400</v>
      </c>
      <c r="D426" s="158">
        <f t="shared" si="17"/>
        <v>34400</v>
      </c>
      <c r="F426" s="9"/>
      <c r="J426"/>
      <c r="K426"/>
    </row>
    <row r="427" spans="1:11" ht="12.75">
      <c r="A427" s="193">
        <v>12</v>
      </c>
      <c r="B427" s="200" t="s">
        <v>846</v>
      </c>
      <c r="C427" s="258"/>
      <c r="D427" s="158">
        <f t="shared" si="17"/>
        <v>0</v>
      </c>
      <c r="F427" s="9"/>
      <c r="J427"/>
      <c r="K427"/>
    </row>
    <row r="428" spans="1:11" ht="12.75">
      <c r="A428" s="193">
        <v>13</v>
      </c>
      <c r="B428" s="200" t="s">
        <v>847</v>
      </c>
      <c r="C428" s="258">
        <f>3000-480</f>
        <v>2520</v>
      </c>
      <c r="D428" s="158">
        <f t="shared" si="17"/>
        <v>2520</v>
      </c>
      <c r="F428" s="9"/>
      <c r="J428"/>
      <c r="K428"/>
    </row>
    <row r="429" spans="1:11" ht="12.75">
      <c r="A429" s="193">
        <v>14</v>
      </c>
      <c r="B429" s="200" t="s">
        <v>848</v>
      </c>
      <c r="C429" s="258"/>
      <c r="D429" s="158">
        <f t="shared" si="17"/>
        <v>0</v>
      </c>
      <c r="F429" s="9"/>
      <c r="J429"/>
      <c r="K429"/>
    </row>
    <row r="430" spans="1:11" ht="12.75">
      <c r="A430" s="193">
        <v>15</v>
      </c>
      <c r="B430" s="200" t="s">
        <v>849</v>
      </c>
      <c r="C430" s="258">
        <f>60000-9600</f>
        <v>50400</v>
      </c>
      <c r="D430" s="158">
        <f t="shared" si="17"/>
        <v>50400</v>
      </c>
      <c r="F430" s="9"/>
      <c r="J430"/>
      <c r="K430"/>
    </row>
    <row r="431" spans="1:11" ht="12.75">
      <c r="A431" s="193">
        <v>16</v>
      </c>
      <c r="B431" s="200" t="s">
        <v>850</v>
      </c>
      <c r="C431" s="258">
        <v>0</v>
      </c>
      <c r="D431" s="158">
        <f t="shared" si="17"/>
        <v>0</v>
      </c>
      <c r="F431" s="9"/>
      <c r="J431"/>
      <c r="K431"/>
    </row>
    <row r="432" spans="1:11" ht="12.75">
      <c r="A432" s="193">
        <v>17</v>
      </c>
      <c r="B432" s="200" t="s">
        <v>851</v>
      </c>
      <c r="C432" s="258"/>
      <c r="D432" s="158">
        <f t="shared" si="17"/>
        <v>0</v>
      </c>
      <c r="F432" s="9"/>
      <c r="J432"/>
      <c r="K432"/>
    </row>
    <row r="433" spans="1:11" ht="12.75">
      <c r="A433" s="193">
        <v>18</v>
      </c>
      <c r="B433" s="200" t="s">
        <v>852</v>
      </c>
      <c r="C433" s="258"/>
      <c r="D433" s="158">
        <f t="shared" si="17"/>
        <v>0</v>
      </c>
      <c r="F433" s="9"/>
      <c r="J433"/>
      <c r="K433"/>
    </row>
    <row r="434" spans="1:11" ht="12.75">
      <c r="A434" s="193">
        <v>19</v>
      </c>
      <c r="B434" s="200" t="s">
        <v>853</v>
      </c>
      <c r="C434" s="258"/>
      <c r="D434" s="158">
        <f t="shared" si="17"/>
        <v>0</v>
      </c>
      <c r="F434" s="9"/>
      <c r="J434"/>
      <c r="K434"/>
    </row>
    <row r="435" spans="1:11" ht="12.75">
      <c r="A435" s="159"/>
      <c r="B435" s="160" t="s">
        <v>638</v>
      </c>
      <c r="C435" s="158">
        <f>SUM(C416:C434)</f>
        <v>157280</v>
      </c>
      <c r="D435" s="158">
        <f>SUM(D416:D434)</f>
        <v>157280</v>
      </c>
      <c r="J435"/>
      <c r="K435"/>
    </row>
    <row r="436" ht="12.75"/>
    <row r="437" spans="1:11" ht="12.75">
      <c r="A437" s="157" t="s">
        <v>621</v>
      </c>
      <c r="B437" s="160" t="s">
        <v>990</v>
      </c>
      <c r="C437" s="157" t="s">
        <v>1014</v>
      </c>
      <c r="D437" s="157" t="s">
        <v>697</v>
      </c>
      <c r="J437"/>
      <c r="K437"/>
    </row>
    <row r="438" spans="1:11" ht="12.75">
      <c r="A438" s="157"/>
      <c r="B438" s="276"/>
      <c r="C438" s="157" t="s">
        <v>1018</v>
      </c>
      <c r="D438" s="157" t="s">
        <v>638</v>
      </c>
      <c r="J438"/>
      <c r="K438"/>
    </row>
    <row r="439" spans="1:11" ht="12.75">
      <c r="A439" s="277" t="s">
        <v>1002</v>
      </c>
      <c r="J439"/>
      <c r="K439"/>
    </row>
    <row r="440" spans="1:11" ht="12.75">
      <c r="A440" s="193">
        <v>1</v>
      </c>
      <c r="B440" s="200" t="s">
        <v>854</v>
      </c>
      <c r="C440" s="258"/>
      <c r="D440" s="158">
        <f aca="true" t="shared" si="18" ref="D440:D463">SUM(C440:C440)</f>
        <v>0</v>
      </c>
      <c r="J440"/>
      <c r="K440"/>
    </row>
    <row r="441" spans="1:11" ht="12.75">
      <c r="A441" s="193">
        <v>2</v>
      </c>
      <c r="B441" s="200" t="s">
        <v>855</v>
      </c>
      <c r="C441" s="258">
        <f>7000-1120</f>
        <v>5880</v>
      </c>
      <c r="D441" s="158">
        <f t="shared" si="18"/>
        <v>5880</v>
      </c>
      <c r="F441" s="9"/>
      <c r="J441"/>
      <c r="K441"/>
    </row>
    <row r="442" spans="1:11" ht="12.75">
      <c r="A442" s="193">
        <v>3</v>
      </c>
      <c r="B442" s="200" t="s">
        <v>856</v>
      </c>
      <c r="C442" s="258"/>
      <c r="D442" s="158">
        <f t="shared" si="18"/>
        <v>0</v>
      </c>
      <c r="F442" s="9"/>
      <c r="J442"/>
      <c r="K442"/>
    </row>
    <row r="443" spans="1:11" ht="12.75">
      <c r="A443" s="193">
        <v>4</v>
      </c>
      <c r="B443" s="200" t="s">
        <v>857</v>
      </c>
      <c r="C443" s="258"/>
      <c r="D443" s="158">
        <f t="shared" si="18"/>
        <v>0</v>
      </c>
      <c r="F443" s="9"/>
      <c r="J443"/>
      <c r="K443"/>
    </row>
    <row r="444" spans="1:11" ht="12.75">
      <c r="A444" s="193">
        <v>5</v>
      </c>
      <c r="B444" s="200" t="s">
        <v>858</v>
      </c>
      <c r="C444" s="258">
        <f>5000-800</f>
        <v>4200</v>
      </c>
      <c r="D444" s="158">
        <f t="shared" si="18"/>
        <v>4200</v>
      </c>
      <c r="F444" s="9"/>
      <c r="J444"/>
      <c r="K444"/>
    </row>
    <row r="445" spans="1:11" ht="12.75">
      <c r="A445" s="193">
        <v>6</v>
      </c>
      <c r="B445" s="200" t="s">
        <v>859</v>
      </c>
      <c r="C445" s="258">
        <f>30000-4800</f>
        <v>25200</v>
      </c>
      <c r="D445" s="158">
        <f t="shared" si="18"/>
        <v>25200</v>
      </c>
      <c r="F445" s="9"/>
      <c r="J445"/>
      <c r="K445"/>
    </row>
    <row r="446" spans="1:11" ht="12.75">
      <c r="A446" s="193">
        <v>7</v>
      </c>
      <c r="B446" s="200" t="s">
        <v>860</v>
      </c>
      <c r="C446" s="258">
        <f>180000-28800</f>
        <v>151200</v>
      </c>
      <c r="D446" s="158">
        <f t="shared" si="18"/>
        <v>151200</v>
      </c>
      <c r="F446" s="9"/>
      <c r="J446"/>
      <c r="K446"/>
    </row>
    <row r="447" spans="1:11" ht="12.75">
      <c r="A447" s="193">
        <v>8</v>
      </c>
      <c r="B447" s="200" t="s">
        <v>861</v>
      </c>
      <c r="C447" s="258">
        <f>70000-11200</f>
        <v>58800</v>
      </c>
      <c r="D447" s="158">
        <f t="shared" si="18"/>
        <v>58800</v>
      </c>
      <c r="F447" s="9"/>
      <c r="J447"/>
      <c r="K447"/>
    </row>
    <row r="448" spans="1:11" ht="12.75">
      <c r="A448" s="193">
        <v>9</v>
      </c>
      <c r="B448" s="200" t="s">
        <v>862</v>
      </c>
      <c r="C448" s="258">
        <f>19000-3040</f>
        <v>15960</v>
      </c>
      <c r="D448" s="158">
        <f t="shared" si="18"/>
        <v>15960</v>
      </c>
      <c r="F448" s="9"/>
      <c r="J448"/>
      <c r="K448"/>
    </row>
    <row r="449" spans="1:11" ht="12.75">
      <c r="A449" s="193">
        <v>10</v>
      </c>
      <c r="B449" s="200" t="s">
        <v>863</v>
      </c>
      <c r="C449" s="258">
        <f>10000-1600</f>
        <v>8400</v>
      </c>
      <c r="D449" s="158">
        <f t="shared" si="18"/>
        <v>8400</v>
      </c>
      <c r="F449" s="9"/>
      <c r="J449"/>
      <c r="K449"/>
    </row>
    <row r="450" spans="1:11" ht="12.75">
      <c r="A450" s="193">
        <v>11</v>
      </c>
      <c r="B450" s="200" t="s">
        <v>864</v>
      </c>
      <c r="C450" s="258"/>
      <c r="D450" s="158">
        <f t="shared" si="18"/>
        <v>0</v>
      </c>
      <c r="F450" s="9"/>
      <c r="J450"/>
      <c r="K450"/>
    </row>
    <row r="451" spans="1:11" ht="12.75">
      <c r="A451" s="193">
        <v>12</v>
      </c>
      <c r="B451" s="200" t="s">
        <v>865</v>
      </c>
      <c r="C451" s="258"/>
      <c r="D451" s="158">
        <f t="shared" si="18"/>
        <v>0</v>
      </c>
      <c r="F451" s="9"/>
      <c r="J451"/>
      <c r="K451"/>
    </row>
    <row r="452" spans="1:11" ht="12.75">
      <c r="A452" s="193">
        <v>13</v>
      </c>
      <c r="B452" s="200" t="s">
        <v>866</v>
      </c>
      <c r="C452" s="258">
        <f>37000-5920</f>
        <v>31080</v>
      </c>
      <c r="D452" s="158">
        <f t="shared" si="18"/>
        <v>31080</v>
      </c>
      <c r="F452" s="9"/>
      <c r="J452"/>
      <c r="K452"/>
    </row>
    <row r="453" spans="1:11" ht="12.75">
      <c r="A453" s="193">
        <v>14</v>
      </c>
      <c r="B453" s="200" t="s">
        <v>867</v>
      </c>
      <c r="C453" s="258">
        <f>3000-480</f>
        <v>2520</v>
      </c>
      <c r="D453" s="158">
        <f t="shared" si="18"/>
        <v>2520</v>
      </c>
      <c r="F453" s="9"/>
      <c r="J453"/>
      <c r="K453"/>
    </row>
    <row r="454" spans="1:11" ht="12.75">
      <c r="A454" s="193">
        <v>15</v>
      </c>
      <c r="B454" s="200" t="s">
        <v>868</v>
      </c>
      <c r="C454" s="258">
        <f>15000-2400</f>
        <v>12600</v>
      </c>
      <c r="D454" s="158">
        <f t="shared" si="18"/>
        <v>12600</v>
      </c>
      <c r="F454" s="9"/>
      <c r="J454"/>
      <c r="K454"/>
    </row>
    <row r="455" spans="1:11" ht="12.75">
      <c r="A455" s="193">
        <v>16</v>
      </c>
      <c r="B455" s="200" t="s">
        <v>869</v>
      </c>
      <c r="C455" s="258">
        <f>5000-800</f>
        <v>4200</v>
      </c>
      <c r="D455" s="158">
        <f t="shared" si="18"/>
        <v>4200</v>
      </c>
      <c r="F455" s="9"/>
      <c r="J455"/>
      <c r="K455"/>
    </row>
    <row r="456" spans="1:11" ht="12.75">
      <c r="A456" s="193">
        <v>17</v>
      </c>
      <c r="B456" s="200" t="s">
        <v>870</v>
      </c>
      <c r="C456" s="258">
        <f>25000-4000</f>
        <v>21000</v>
      </c>
      <c r="D456" s="158">
        <f t="shared" si="18"/>
        <v>21000</v>
      </c>
      <c r="F456" s="9"/>
      <c r="J456"/>
      <c r="K456"/>
    </row>
    <row r="457" spans="1:11" ht="12.75">
      <c r="A457" s="193">
        <v>18</v>
      </c>
      <c r="B457" s="200" t="s">
        <v>871</v>
      </c>
      <c r="C457" s="258"/>
      <c r="D457" s="158">
        <f t="shared" si="18"/>
        <v>0</v>
      </c>
      <c r="F457" s="9"/>
      <c r="J457"/>
      <c r="K457"/>
    </row>
    <row r="458" spans="1:11" ht="12.75">
      <c r="A458" s="193">
        <v>19</v>
      </c>
      <c r="B458" s="200" t="s">
        <v>872</v>
      </c>
      <c r="C458" s="258"/>
      <c r="D458" s="158">
        <f t="shared" si="18"/>
        <v>0</v>
      </c>
      <c r="F458" s="9"/>
      <c r="J458"/>
      <c r="K458"/>
    </row>
    <row r="459" spans="1:11" ht="12.75">
      <c r="A459" s="193">
        <v>20</v>
      </c>
      <c r="B459" s="200" t="s">
        <v>873</v>
      </c>
      <c r="C459" s="258">
        <f>1050000-168000-163000</f>
        <v>719000</v>
      </c>
      <c r="D459" s="158">
        <f t="shared" si="18"/>
        <v>719000</v>
      </c>
      <c r="F459" s="9"/>
      <c r="J459"/>
      <c r="K459"/>
    </row>
    <row r="460" spans="1:11" ht="12.75">
      <c r="A460" s="193">
        <v>21</v>
      </c>
      <c r="B460" s="200" t="s">
        <v>874</v>
      </c>
      <c r="C460" s="258">
        <f>90000-14400</f>
        <v>75600</v>
      </c>
      <c r="D460" s="158">
        <f t="shared" si="18"/>
        <v>75600</v>
      </c>
      <c r="F460" s="9"/>
      <c r="J460"/>
      <c r="K460"/>
    </row>
    <row r="461" spans="1:11" ht="12.75">
      <c r="A461" s="193" t="s">
        <v>120</v>
      </c>
      <c r="B461" s="200" t="s">
        <v>119</v>
      </c>
      <c r="C461" s="258">
        <f>12000-1920</f>
        <v>10080</v>
      </c>
      <c r="D461" s="158">
        <f t="shared" si="18"/>
        <v>10080</v>
      </c>
      <c r="F461" s="9"/>
      <c r="J461"/>
      <c r="K461"/>
    </row>
    <row r="462" spans="1:11" ht="12.75">
      <c r="A462" s="193" t="s">
        <v>121</v>
      </c>
      <c r="B462" s="200" t="s">
        <v>122</v>
      </c>
      <c r="C462" s="278"/>
      <c r="D462" s="158">
        <f t="shared" si="18"/>
        <v>0</v>
      </c>
      <c r="F462" s="9"/>
      <c r="J462"/>
      <c r="K462"/>
    </row>
    <row r="463" spans="1:11" ht="12.75">
      <c r="A463" s="193" t="s">
        <v>106</v>
      </c>
      <c r="B463" s="200" t="s">
        <v>128</v>
      </c>
      <c r="C463" s="258">
        <f>750000-120000-100000</f>
        <v>530000</v>
      </c>
      <c r="D463" s="158">
        <f t="shared" si="18"/>
        <v>530000</v>
      </c>
      <c r="F463" s="9"/>
      <c r="J463"/>
      <c r="K463"/>
    </row>
    <row r="464" spans="1:11" ht="12.75">
      <c r="A464" s="77"/>
      <c r="B464" s="78"/>
      <c r="C464" s="79"/>
      <c r="D464" s="158"/>
      <c r="J464"/>
      <c r="K464"/>
    </row>
    <row r="465" spans="1:11" ht="12.75">
      <c r="A465" s="159"/>
      <c r="B465" s="160" t="s">
        <v>638</v>
      </c>
      <c r="C465" s="158">
        <f>SUM(C440:C464)</f>
        <v>1675720</v>
      </c>
      <c r="D465" s="158">
        <f>SUM(D440:D464)</f>
        <v>1675720</v>
      </c>
      <c r="J465"/>
      <c r="K465"/>
    </row>
    <row r="466" spans="1:3" ht="12.75">
      <c r="A466" s="89" t="s">
        <v>150</v>
      </c>
      <c r="C466" s="9"/>
    </row>
    <row r="467" ht="12.75"/>
    <row r="468" spans="1:11" ht="12.75">
      <c r="A468" s="157" t="s">
        <v>621</v>
      </c>
      <c r="B468" s="160" t="s">
        <v>1016</v>
      </c>
      <c r="C468" s="157" t="s">
        <v>1014</v>
      </c>
      <c r="D468" s="157" t="s">
        <v>638</v>
      </c>
      <c r="J468"/>
      <c r="K468"/>
    </row>
    <row r="469" spans="1:11" ht="12.75">
      <c r="A469" s="157"/>
      <c r="B469" s="276"/>
      <c r="C469" s="157" t="s">
        <v>1018</v>
      </c>
      <c r="D469" s="157"/>
      <c r="J469"/>
      <c r="K469"/>
    </row>
    <row r="470" spans="1:11" ht="12.75">
      <c r="A470" s="277" t="s">
        <v>1003</v>
      </c>
      <c r="J470"/>
      <c r="K470"/>
    </row>
    <row r="471" spans="1:11" ht="12.75">
      <c r="A471" s="193">
        <v>1</v>
      </c>
      <c r="B471" s="200" t="s">
        <v>875</v>
      </c>
      <c r="C471" s="258">
        <f>30000-4800</f>
        <v>25200</v>
      </c>
      <c r="D471" s="158">
        <f aca="true" t="shared" si="19" ref="D471:D482">SUM(C471:C471)</f>
        <v>25200</v>
      </c>
      <c r="F471" s="9"/>
      <c r="J471"/>
      <c r="K471"/>
    </row>
    <row r="472" spans="1:11" ht="12.75">
      <c r="A472" s="193">
        <v>2</v>
      </c>
      <c r="B472" s="200" t="s">
        <v>876</v>
      </c>
      <c r="C472" s="258">
        <f>3000-480</f>
        <v>2520</v>
      </c>
      <c r="D472" s="158">
        <f t="shared" si="19"/>
        <v>2520</v>
      </c>
      <c r="F472" s="9"/>
      <c r="J472"/>
      <c r="K472"/>
    </row>
    <row r="473" spans="1:11" ht="12.75">
      <c r="A473" s="193">
        <v>3</v>
      </c>
      <c r="B473" s="200" t="s">
        <v>877</v>
      </c>
      <c r="C473" s="258"/>
      <c r="D473" s="158">
        <f t="shared" si="19"/>
        <v>0</v>
      </c>
      <c r="F473" s="9"/>
      <c r="J473"/>
      <c r="K473"/>
    </row>
    <row r="474" spans="1:11" ht="12.75">
      <c r="A474" s="193">
        <v>4</v>
      </c>
      <c r="B474" s="200" t="s">
        <v>878</v>
      </c>
      <c r="C474" s="258">
        <f>12000-1920</f>
        <v>10080</v>
      </c>
      <c r="D474" s="158">
        <f t="shared" si="19"/>
        <v>10080</v>
      </c>
      <c r="F474" s="9"/>
      <c r="J474"/>
      <c r="K474"/>
    </row>
    <row r="475" spans="1:11" ht="12.75">
      <c r="A475" s="193">
        <v>5</v>
      </c>
      <c r="B475" s="200" t="s">
        <v>879</v>
      </c>
      <c r="C475" s="258">
        <f>12000-1920</f>
        <v>10080</v>
      </c>
      <c r="D475" s="158">
        <f t="shared" si="19"/>
        <v>10080</v>
      </c>
      <c r="F475" s="9"/>
      <c r="J475"/>
      <c r="K475"/>
    </row>
    <row r="476" spans="1:11" ht="12.75">
      <c r="A476" s="193">
        <v>6</v>
      </c>
      <c r="B476" s="200" t="s">
        <v>880</v>
      </c>
      <c r="C476" s="258">
        <f>7000-1120</f>
        <v>5880</v>
      </c>
      <c r="D476" s="158">
        <f t="shared" si="19"/>
        <v>5880</v>
      </c>
      <c r="F476" s="9"/>
      <c r="J476"/>
      <c r="K476"/>
    </row>
    <row r="477" spans="1:11" ht="12.75">
      <c r="A477" s="193">
        <v>7</v>
      </c>
      <c r="B477" s="200" t="s">
        <v>893</v>
      </c>
      <c r="C477" s="258">
        <f>20000-3200</f>
        <v>16800</v>
      </c>
      <c r="D477" s="158">
        <f t="shared" si="19"/>
        <v>16800</v>
      </c>
      <c r="F477" s="9"/>
      <c r="J477"/>
      <c r="K477"/>
    </row>
    <row r="478" spans="1:11" ht="12.75">
      <c r="A478" s="193">
        <v>8</v>
      </c>
      <c r="B478" s="200" t="s">
        <v>894</v>
      </c>
      <c r="C478" s="258">
        <f>30000-4800-19000</f>
        <v>6200</v>
      </c>
      <c r="D478" s="158">
        <f t="shared" si="19"/>
        <v>6200</v>
      </c>
      <c r="F478" s="9"/>
      <c r="J478"/>
      <c r="K478"/>
    </row>
    <row r="479" spans="1:11" ht="12.75">
      <c r="A479" s="193">
        <v>9</v>
      </c>
      <c r="B479" s="200" t="s">
        <v>897</v>
      </c>
      <c r="C479" s="258"/>
      <c r="D479" s="158">
        <f t="shared" si="19"/>
        <v>0</v>
      </c>
      <c r="F479" s="9"/>
      <c r="J479"/>
      <c r="K479"/>
    </row>
    <row r="480" spans="1:11" ht="12.75">
      <c r="A480" s="193">
        <v>10</v>
      </c>
      <c r="B480" s="200" t="s">
        <v>895</v>
      </c>
      <c r="C480" s="258">
        <f>10000-1600</f>
        <v>8400</v>
      </c>
      <c r="D480" s="158">
        <f t="shared" si="19"/>
        <v>8400</v>
      </c>
      <c r="F480" s="9"/>
      <c r="J480"/>
      <c r="K480"/>
    </row>
    <row r="481" spans="1:11" ht="12.75">
      <c r="A481" s="193" t="s">
        <v>729</v>
      </c>
      <c r="B481" s="200" t="s">
        <v>739</v>
      </c>
      <c r="C481" s="258"/>
      <c r="D481" s="158">
        <f t="shared" si="19"/>
        <v>0</v>
      </c>
      <c r="F481" s="9"/>
      <c r="J481"/>
      <c r="K481"/>
    </row>
    <row r="482" spans="1:11" ht="12.75">
      <c r="A482" s="193" t="s">
        <v>911</v>
      </c>
      <c r="B482" s="200" t="s">
        <v>738</v>
      </c>
      <c r="C482" s="258">
        <f>2000-320</f>
        <v>1680</v>
      </c>
      <c r="D482" s="158">
        <f t="shared" si="19"/>
        <v>1680</v>
      </c>
      <c r="F482" s="9"/>
      <c r="J482"/>
      <c r="K482"/>
    </row>
    <row r="483" spans="1:11" ht="12.75">
      <c r="A483" s="159"/>
      <c r="B483" s="160" t="s">
        <v>638</v>
      </c>
      <c r="C483" s="158">
        <f>SUM(C471:C482)</f>
        <v>86840</v>
      </c>
      <c r="D483" s="158">
        <f>SUM(D471:D482)</f>
        <v>86840</v>
      </c>
      <c r="J483"/>
      <c r="K483"/>
    </row>
    <row r="484" ht="12.75"/>
    <row r="485" spans="1:3" ht="12.75">
      <c r="A485" s="87" t="str">
        <f>+A408</f>
        <v> </v>
      </c>
      <c r="B485" s="84"/>
      <c r="C485" s="33" t="s">
        <v>372</v>
      </c>
    </row>
    <row r="486" spans="1:10" ht="12.75">
      <c r="A486" s="83"/>
      <c r="B486" s="83" t="s">
        <v>383</v>
      </c>
      <c r="C486" s="14"/>
      <c r="D486" s="14"/>
      <c r="E486" s="14"/>
      <c r="F486" s="14"/>
      <c r="G486" s="14"/>
      <c r="H486" s="14"/>
      <c r="I486" s="14"/>
      <c r="J486" s="14"/>
    </row>
    <row r="487" spans="1:2" ht="12.75">
      <c r="A487" s="91" t="str">
        <f>+A410</f>
        <v>Juris.:</v>
      </c>
      <c r="B487" s="108" t="s">
        <v>151</v>
      </c>
    </row>
    <row r="488" spans="1:2" ht="12.75">
      <c r="A488" s="33" t="s">
        <v>1012</v>
      </c>
      <c r="B488" s="14"/>
    </row>
    <row r="489" spans="9:11" ht="12.75">
      <c r="I489"/>
      <c r="J489"/>
      <c r="K489"/>
    </row>
    <row r="490" spans="1:11" ht="12.75">
      <c r="A490" s="157" t="s">
        <v>621</v>
      </c>
      <c r="B490" s="160" t="s">
        <v>996</v>
      </c>
      <c r="C490" s="157" t="s">
        <v>1014</v>
      </c>
      <c r="D490" s="157" t="s">
        <v>90</v>
      </c>
      <c r="F490"/>
      <c r="G490"/>
      <c r="H490"/>
      <c r="I490"/>
      <c r="J490"/>
      <c r="K490"/>
    </row>
    <row r="491" spans="1:11" ht="12.75">
      <c r="A491" s="157"/>
      <c r="B491" s="276"/>
      <c r="C491" s="157" t="s">
        <v>1020</v>
      </c>
      <c r="D491" s="157" t="s">
        <v>638</v>
      </c>
      <c r="F491" s="564"/>
      <c r="G491"/>
      <c r="H491"/>
      <c r="I491"/>
      <c r="J491"/>
      <c r="K491"/>
    </row>
    <row r="492" spans="1:11" ht="12.75">
      <c r="A492" s="277" t="s">
        <v>995</v>
      </c>
      <c r="G492"/>
      <c r="H492"/>
      <c r="I492"/>
      <c r="J492"/>
      <c r="K492"/>
    </row>
    <row r="493" spans="1:11" ht="12.75">
      <c r="A493" s="197" t="s">
        <v>666</v>
      </c>
      <c r="B493" s="200" t="s">
        <v>667</v>
      </c>
      <c r="C493" s="258">
        <f>260130-10400</f>
        <v>249730</v>
      </c>
      <c r="D493" s="158">
        <f aca="true" t="shared" si="20" ref="D493:D506">SUM(C493:C493)</f>
        <v>249730</v>
      </c>
      <c r="F493" s="9"/>
      <c r="G493"/>
      <c r="H493"/>
      <c r="I493"/>
      <c r="J493"/>
      <c r="K493"/>
    </row>
    <row r="494" spans="1:11" ht="12.75">
      <c r="A494" s="197" t="s">
        <v>668</v>
      </c>
      <c r="B494" s="200" t="s">
        <v>669</v>
      </c>
      <c r="C494" s="258">
        <f>111180-440</f>
        <v>110740</v>
      </c>
      <c r="D494" s="158">
        <f t="shared" si="20"/>
        <v>110740</v>
      </c>
      <c r="F494" s="9"/>
      <c r="G494"/>
      <c r="H494"/>
      <c r="I494"/>
      <c r="J494"/>
      <c r="K494"/>
    </row>
    <row r="495" spans="1:11" ht="12.75">
      <c r="A495" s="197" t="s">
        <v>670</v>
      </c>
      <c r="B495" s="200" t="s">
        <v>726</v>
      </c>
      <c r="C495" s="258">
        <v>0</v>
      </c>
      <c r="D495" s="158">
        <f t="shared" si="20"/>
        <v>0</v>
      </c>
      <c r="F495" s="9"/>
      <c r="G495"/>
      <c r="H495"/>
      <c r="I495"/>
      <c r="J495"/>
      <c r="K495"/>
    </row>
    <row r="496" spans="1:11" ht="12.75">
      <c r="A496" s="197" t="s">
        <v>672</v>
      </c>
      <c r="B496" s="200" t="s">
        <v>671</v>
      </c>
      <c r="C496" s="258">
        <v>60800</v>
      </c>
      <c r="D496" s="158">
        <f t="shared" si="20"/>
        <v>60800</v>
      </c>
      <c r="F496" s="9"/>
      <c r="G496"/>
      <c r="H496"/>
      <c r="I496"/>
      <c r="J496"/>
      <c r="K496"/>
    </row>
    <row r="497" spans="1:11" ht="12.75">
      <c r="A497" s="197" t="s">
        <v>673</v>
      </c>
      <c r="B497" s="200" t="s">
        <v>674</v>
      </c>
      <c r="C497" s="258">
        <v>259500</v>
      </c>
      <c r="D497" s="158">
        <f t="shared" si="20"/>
        <v>259500</v>
      </c>
      <c r="F497" s="9"/>
      <c r="G497"/>
      <c r="H497"/>
      <c r="I497"/>
      <c r="J497"/>
      <c r="K497"/>
    </row>
    <row r="498" spans="1:11" ht="12.75">
      <c r="A498" s="197" t="s">
        <v>675</v>
      </c>
      <c r="B498" s="200" t="s">
        <v>727</v>
      </c>
      <c r="C498" s="258">
        <v>2110</v>
      </c>
      <c r="D498" s="158">
        <f t="shared" si="20"/>
        <v>2110</v>
      </c>
      <c r="F498" s="9"/>
      <c r="G498"/>
      <c r="H498"/>
      <c r="I498"/>
      <c r="J498"/>
      <c r="K498"/>
    </row>
    <row r="499" spans="1:11" ht="12.75">
      <c r="A499" s="197" t="s">
        <v>677</v>
      </c>
      <c r="B499" s="200" t="s">
        <v>676</v>
      </c>
      <c r="C499" s="258">
        <v>69940</v>
      </c>
      <c r="D499" s="158">
        <f t="shared" si="20"/>
        <v>69940</v>
      </c>
      <c r="F499" s="9"/>
      <c r="G499"/>
      <c r="H499"/>
      <c r="I499"/>
      <c r="J499"/>
      <c r="K499"/>
    </row>
    <row r="500" spans="1:11" ht="12.75">
      <c r="A500" s="197" t="s">
        <v>679</v>
      </c>
      <c r="B500" s="200" t="s">
        <v>678</v>
      </c>
      <c r="C500" s="258">
        <v>41080</v>
      </c>
      <c r="D500" s="158">
        <f t="shared" si="20"/>
        <v>41080</v>
      </c>
      <c r="F500" s="9"/>
      <c r="G500"/>
      <c r="H500"/>
      <c r="I500"/>
      <c r="J500"/>
      <c r="K500"/>
    </row>
    <row r="501" spans="1:11" ht="12.75">
      <c r="A501" s="197" t="s">
        <v>680</v>
      </c>
      <c r="B501" s="200" t="s">
        <v>728</v>
      </c>
      <c r="C501" s="258">
        <v>72170</v>
      </c>
      <c r="D501" s="158">
        <f t="shared" si="20"/>
        <v>72170</v>
      </c>
      <c r="F501" s="9"/>
      <c r="G501"/>
      <c r="H501"/>
      <c r="I501"/>
      <c r="J501"/>
      <c r="K501"/>
    </row>
    <row r="502" spans="1:11" ht="12.75">
      <c r="A502" s="197" t="s">
        <v>681</v>
      </c>
      <c r="B502" s="200" t="s">
        <v>730</v>
      </c>
      <c r="C502" s="258">
        <v>83410</v>
      </c>
      <c r="D502" s="158">
        <f t="shared" si="20"/>
        <v>83410</v>
      </c>
      <c r="F502" s="9"/>
      <c r="G502"/>
      <c r="H502"/>
      <c r="I502"/>
      <c r="J502"/>
      <c r="K502"/>
    </row>
    <row r="503" spans="1:11" ht="12.75">
      <c r="A503" s="197" t="s">
        <v>725</v>
      </c>
      <c r="B503" s="200" t="s">
        <v>731</v>
      </c>
      <c r="C503" s="258">
        <v>125290</v>
      </c>
      <c r="D503" s="158">
        <f t="shared" si="20"/>
        <v>125290</v>
      </c>
      <c r="F503" s="9"/>
      <c r="G503"/>
      <c r="H503"/>
      <c r="I503"/>
      <c r="J503"/>
      <c r="K503"/>
    </row>
    <row r="504" spans="1:11" ht="12.75">
      <c r="A504" s="197" t="s">
        <v>729</v>
      </c>
      <c r="B504" s="200" t="s">
        <v>732</v>
      </c>
      <c r="C504" s="258">
        <v>64530</v>
      </c>
      <c r="D504" s="158">
        <f t="shared" si="20"/>
        <v>64530</v>
      </c>
      <c r="F504" s="9"/>
      <c r="G504"/>
      <c r="H504"/>
      <c r="I504"/>
      <c r="J504"/>
      <c r="K504"/>
    </row>
    <row r="505" spans="1:11" ht="12.75">
      <c r="A505" s="197" t="s">
        <v>733</v>
      </c>
      <c r="B505" s="200" t="s">
        <v>735</v>
      </c>
      <c r="C505" s="258">
        <v>11930</v>
      </c>
      <c r="D505" s="158">
        <f t="shared" si="20"/>
        <v>11930</v>
      </c>
      <c r="F505" s="9"/>
      <c r="G505"/>
      <c r="H505"/>
      <c r="I505"/>
      <c r="J505"/>
      <c r="K505"/>
    </row>
    <row r="506" spans="1:11" ht="12.75">
      <c r="A506" s="197" t="s">
        <v>734</v>
      </c>
      <c r="B506" s="200" t="s">
        <v>736</v>
      </c>
      <c r="C506" s="258"/>
      <c r="D506" s="158">
        <f t="shared" si="20"/>
        <v>0</v>
      </c>
      <c r="F506" s="9"/>
      <c r="G506" s="1"/>
      <c r="H506"/>
      <c r="I506"/>
      <c r="J506"/>
      <c r="K506"/>
    </row>
    <row r="507" spans="1:11" ht="12.75">
      <c r="A507" s="159"/>
      <c r="B507" s="160" t="s">
        <v>638</v>
      </c>
      <c r="C507" s="158">
        <f>SUM(C493:C506)</f>
        <v>1151230</v>
      </c>
      <c r="D507" s="158">
        <f>SUM(D493:D506)</f>
        <v>1151230</v>
      </c>
      <c r="F507"/>
      <c r="G507"/>
      <c r="H507"/>
      <c r="I507"/>
      <c r="J507"/>
      <c r="K507"/>
    </row>
    <row r="508" spans="9:11" ht="12.75">
      <c r="I508"/>
      <c r="J508"/>
      <c r="K508"/>
    </row>
    <row r="509" spans="1:11" ht="12.75">
      <c r="A509" s="157" t="s">
        <v>621</v>
      </c>
      <c r="B509" s="160" t="s">
        <v>998</v>
      </c>
      <c r="C509" s="157" t="s">
        <v>1014</v>
      </c>
      <c r="D509" s="157" t="s">
        <v>90</v>
      </c>
      <c r="F509"/>
      <c r="G509"/>
      <c r="H509"/>
      <c r="I509"/>
      <c r="J509"/>
      <c r="K509"/>
    </row>
    <row r="510" spans="1:11" ht="12.75">
      <c r="A510" s="157"/>
      <c r="B510" s="276"/>
      <c r="C510" s="157" t="s">
        <v>1020</v>
      </c>
      <c r="D510" s="157" t="s">
        <v>638</v>
      </c>
      <c r="F510"/>
      <c r="G510"/>
      <c r="H510"/>
      <c r="I510"/>
      <c r="J510"/>
      <c r="K510"/>
    </row>
    <row r="511" spans="1:11" ht="12.75">
      <c r="A511" s="277" t="s">
        <v>999</v>
      </c>
      <c r="F511"/>
      <c r="G511"/>
      <c r="H511"/>
      <c r="I511"/>
      <c r="J511"/>
      <c r="K511"/>
    </row>
    <row r="512" spans="1:11" ht="12.75">
      <c r="A512" s="197" t="s">
        <v>666</v>
      </c>
      <c r="B512" s="200" t="s">
        <v>667</v>
      </c>
      <c r="C512" s="258">
        <f>223520-8940</f>
        <v>214580</v>
      </c>
      <c r="D512" s="158">
        <f aca="true" t="shared" si="21" ref="D512:D525">SUM(C512:C512)</f>
        <v>214580</v>
      </c>
      <c r="F512" s="9"/>
      <c r="G512"/>
      <c r="H512"/>
      <c r="I512"/>
      <c r="J512"/>
      <c r="K512"/>
    </row>
    <row r="513" spans="1:11" ht="12.75">
      <c r="A513" s="197" t="s">
        <v>668</v>
      </c>
      <c r="B513" s="200" t="s">
        <v>669</v>
      </c>
      <c r="C513" s="258">
        <f>3360-130</f>
        <v>3230</v>
      </c>
      <c r="D513" s="158">
        <f t="shared" si="21"/>
        <v>3230</v>
      </c>
      <c r="F513" s="9"/>
      <c r="G513"/>
      <c r="H513"/>
      <c r="I513"/>
      <c r="J513"/>
      <c r="K513"/>
    </row>
    <row r="514" spans="1:11" ht="12.75">
      <c r="A514" s="197" t="s">
        <v>670</v>
      </c>
      <c r="B514" s="200" t="s">
        <v>726</v>
      </c>
      <c r="C514" s="258">
        <v>0</v>
      </c>
      <c r="D514" s="158">
        <f t="shared" si="21"/>
        <v>0</v>
      </c>
      <c r="F514" s="9"/>
      <c r="G514"/>
      <c r="H514"/>
      <c r="I514"/>
      <c r="J514"/>
      <c r="K514"/>
    </row>
    <row r="515" spans="1:11" ht="12.75">
      <c r="A515" s="197" t="s">
        <v>672</v>
      </c>
      <c r="B515" s="200" t="s">
        <v>671</v>
      </c>
      <c r="C515" s="258">
        <f>53780-2150</f>
        <v>51630</v>
      </c>
      <c r="D515" s="158">
        <f t="shared" si="21"/>
        <v>51630</v>
      </c>
      <c r="F515" s="9"/>
      <c r="G515"/>
      <c r="H515"/>
      <c r="I515"/>
      <c r="J515"/>
      <c r="K515"/>
    </row>
    <row r="516" spans="1:11" ht="12.75">
      <c r="A516" s="197" t="s">
        <v>673</v>
      </c>
      <c r="B516" s="200" t="s">
        <v>674</v>
      </c>
      <c r="C516" s="258">
        <f>113300-4530</f>
        <v>108770</v>
      </c>
      <c r="D516" s="158">
        <f t="shared" si="21"/>
        <v>108770</v>
      </c>
      <c r="F516" s="9"/>
      <c r="G516"/>
      <c r="H516"/>
      <c r="I516"/>
      <c r="J516"/>
      <c r="K516"/>
    </row>
    <row r="517" spans="1:11" ht="12.75">
      <c r="A517" s="197" t="s">
        <v>675</v>
      </c>
      <c r="B517" s="200" t="s">
        <v>727</v>
      </c>
      <c r="C517" s="258">
        <v>0</v>
      </c>
      <c r="D517" s="158">
        <f t="shared" si="21"/>
        <v>0</v>
      </c>
      <c r="F517" s="9"/>
      <c r="G517"/>
      <c r="H517"/>
      <c r="I517"/>
      <c r="J517"/>
      <c r="K517"/>
    </row>
    <row r="518" spans="1:11" ht="12.75">
      <c r="A518" s="197" t="s">
        <v>677</v>
      </c>
      <c r="B518" s="200" t="s">
        <v>676</v>
      </c>
      <c r="C518" s="258">
        <f>61090-2440</f>
        <v>58650</v>
      </c>
      <c r="D518" s="158">
        <f t="shared" si="21"/>
        <v>58650</v>
      </c>
      <c r="F518" s="9"/>
      <c r="G518"/>
      <c r="H518"/>
      <c r="I518"/>
      <c r="J518"/>
      <c r="K518"/>
    </row>
    <row r="519" spans="1:11" ht="12.75">
      <c r="A519" s="197" t="s">
        <v>679</v>
      </c>
      <c r="B519" s="200" t="s">
        <v>678</v>
      </c>
      <c r="C519" s="258">
        <f>68910-2750</f>
        <v>66160</v>
      </c>
      <c r="D519" s="158">
        <f t="shared" si="21"/>
        <v>66160</v>
      </c>
      <c r="F519" s="9"/>
      <c r="G519"/>
      <c r="H519"/>
      <c r="I519"/>
      <c r="J519"/>
      <c r="K519"/>
    </row>
    <row r="520" spans="1:11" ht="12.75">
      <c r="A520" s="197" t="s">
        <v>680</v>
      </c>
      <c r="B520" s="200" t="s">
        <v>728</v>
      </c>
      <c r="C520" s="258">
        <f>13360-530</f>
        <v>12830</v>
      </c>
      <c r="D520" s="158">
        <f t="shared" si="21"/>
        <v>12830</v>
      </c>
      <c r="F520" s="9"/>
      <c r="G520"/>
      <c r="H520"/>
      <c r="I520"/>
      <c r="J520"/>
      <c r="K520"/>
    </row>
    <row r="521" spans="1:11" ht="12.75">
      <c r="A521" s="197" t="s">
        <v>681</v>
      </c>
      <c r="B521" s="200" t="s">
        <v>730</v>
      </c>
      <c r="C521" s="258">
        <f>82000-3280</f>
        <v>78720</v>
      </c>
      <c r="D521" s="158">
        <f t="shared" si="21"/>
        <v>78720</v>
      </c>
      <c r="F521" s="9"/>
      <c r="G521"/>
      <c r="H521"/>
      <c r="I521"/>
      <c r="J521"/>
      <c r="K521"/>
    </row>
    <row r="522" spans="1:11" ht="12.75">
      <c r="A522" s="197" t="s">
        <v>725</v>
      </c>
      <c r="B522" s="200" t="s">
        <v>731</v>
      </c>
      <c r="C522" s="258">
        <f>58740-2350</f>
        <v>56390</v>
      </c>
      <c r="D522" s="158">
        <f t="shared" si="21"/>
        <v>56390</v>
      </c>
      <c r="F522" s="9"/>
      <c r="G522"/>
      <c r="H522"/>
      <c r="I522"/>
      <c r="J522"/>
      <c r="K522"/>
    </row>
    <row r="523" spans="1:11" ht="12.75">
      <c r="A523" s="197" t="s">
        <v>729</v>
      </c>
      <c r="B523" s="200" t="s">
        <v>732</v>
      </c>
      <c r="C523" s="258">
        <f>34680-1380</f>
        <v>33300</v>
      </c>
      <c r="D523" s="158">
        <f t="shared" si="21"/>
        <v>33300</v>
      </c>
      <c r="F523" s="9"/>
      <c r="G523"/>
      <c r="H523"/>
      <c r="I523"/>
      <c r="J523"/>
      <c r="K523"/>
    </row>
    <row r="524" spans="1:11" ht="12.75">
      <c r="A524" s="197" t="s">
        <v>733</v>
      </c>
      <c r="B524" s="200" t="s">
        <v>735</v>
      </c>
      <c r="C524" s="258">
        <f>7670-310</f>
        <v>7360</v>
      </c>
      <c r="D524" s="158">
        <f t="shared" si="21"/>
        <v>7360</v>
      </c>
      <c r="F524" s="9"/>
      <c r="G524"/>
      <c r="H524"/>
      <c r="I524"/>
      <c r="J524"/>
      <c r="K524"/>
    </row>
    <row r="525" spans="1:11" ht="12.75">
      <c r="A525" s="197" t="s">
        <v>734</v>
      </c>
      <c r="B525" s="200" t="s">
        <v>736</v>
      </c>
      <c r="C525" s="258"/>
      <c r="D525" s="158">
        <f t="shared" si="21"/>
        <v>0</v>
      </c>
      <c r="F525" s="9"/>
      <c r="G525"/>
      <c r="H525"/>
      <c r="I525"/>
      <c r="J525"/>
      <c r="K525"/>
    </row>
    <row r="526" spans="1:11" ht="12.75">
      <c r="A526" s="159"/>
      <c r="B526" s="160" t="s">
        <v>638</v>
      </c>
      <c r="C526" s="158">
        <f>SUM(C512:C525)</f>
        <v>691620</v>
      </c>
      <c r="D526" s="158">
        <f>SUM(D512:D525)</f>
        <v>691620</v>
      </c>
      <c r="F526" s="1"/>
      <c r="G526"/>
      <c r="H526"/>
      <c r="I526"/>
      <c r="J526"/>
      <c r="K526"/>
    </row>
    <row r="527" ht="12.75"/>
    <row r="528" spans="1:3" ht="12.75">
      <c r="A528" s="48" t="str">
        <f>+A485</f>
        <v> </v>
      </c>
      <c r="C528" s="33" t="s">
        <v>372</v>
      </c>
    </row>
    <row r="529" spans="1:10" ht="12.75">
      <c r="A529" s="14"/>
      <c r="B529" s="14" t="s">
        <v>383</v>
      </c>
      <c r="C529" s="14"/>
      <c r="D529" s="14"/>
      <c r="E529" s="14"/>
      <c r="F529" s="14"/>
      <c r="G529" s="14"/>
      <c r="H529" s="14"/>
      <c r="I529" s="14"/>
      <c r="J529" s="14"/>
    </row>
    <row r="530" spans="1:2" ht="12.75">
      <c r="A530" s="33" t="str">
        <f>+A487</f>
        <v>Juris.:</v>
      </c>
      <c r="B530" s="53" t="s">
        <v>151</v>
      </c>
    </row>
    <row r="531" spans="1:2" ht="12.75">
      <c r="A531" s="33" t="s">
        <v>1012</v>
      </c>
      <c r="B531" s="14"/>
    </row>
    <row r="532" spans="9:11" ht="12.75">
      <c r="I532"/>
      <c r="J532"/>
      <c r="K532"/>
    </row>
    <row r="533" spans="1:11" ht="12.75">
      <c r="A533" s="157" t="s">
        <v>621</v>
      </c>
      <c r="B533" s="160" t="s">
        <v>1001</v>
      </c>
      <c r="C533" s="157" t="s">
        <v>1014</v>
      </c>
      <c r="D533" s="157" t="s">
        <v>90</v>
      </c>
      <c r="F533" s="564"/>
      <c r="G533"/>
      <c r="H533"/>
      <c r="I533"/>
      <c r="J533"/>
      <c r="K533"/>
    </row>
    <row r="534" spans="1:11" ht="12.75">
      <c r="A534" s="157"/>
      <c r="B534" s="276"/>
      <c r="C534" s="157" t="s">
        <v>1020</v>
      </c>
      <c r="D534" s="157" t="s">
        <v>638</v>
      </c>
      <c r="G534"/>
      <c r="H534"/>
      <c r="I534"/>
      <c r="J534"/>
      <c r="K534"/>
    </row>
    <row r="535" spans="1:11" ht="12.75">
      <c r="A535" s="277" t="s">
        <v>1000</v>
      </c>
      <c r="F535" s="9"/>
      <c r="G535"/>
      <c r="H535"/>
      <c r="I535"/>
      <c r="J535"/>
      <c r="K535"/>
    </row>
    <row r="536" spans="1:11" ht="12.75">
      <c r="A536" s="193">
        <v>1</v>
      </c>
      <c r="B536" s="200" t="s">
        <v>834</v>
      </c>
      <c r="C536" s="258">
        <f>2000-320</f>
        <v>1680</v>
      </c>
      <c r="D536" s="158">
        <f aca="true" t="shared" si="22" ref="D536:D554">SUM(C536:C536)</f>
        <v>1680</v>
      </c>
      <c r="F536" s="9"/>
      <c r="G536"/>
      <c r="H536"/>
      <c r="I536"/>
      <c r="J536"/>
      <c r="K536"/>
    </row>
    <row r="537" spans="1:11" ht="12.75">
      <c r="A537" s="193">
        <v>2</v>
      </c>
      <c r="B537" s="200" t="s">
        <v>835</v>
      </c>
      <c r="C537" s="258"/>
      <c r="D537" s="158">
        <f t="shared" si="22"/>
        <v>0</v>
      </c>
      <c r="F537" s="9"/>
      <c r="G537"/>
      <c r="H537"/>
      <c r="I537"/>
      <c r="J537"/>
      <c r="K537"/>
    </row>
    <row r="538" spans="1:11" ht="12.75">
      <c r="A538" s="193">
        <v>3</v>
      </c>
      <c r="B538" s="200" t="s">
        <v>836</v>
      </c>
      <c r="C538" s="258"/>
      <c r="D538" s="158">
        <f t="shared" si="22"/>
        <v>0</v>
      </c>
      <c r="F538" s="9"/>
      <c r="G538"/>
      <c r="H538"/>
      <c r="I538"/>
      <c r="J538"/>
      <c r="K538"/>
    </row>
    <row r="539" spans="1:11" ht="12.75">
      <c r="A539" s="193">
        <v>4</v>
      </c>
      <c r="B539" s="200" t="s">
        <v>837</v>
      </c>
      <c r="C539" s="258"/>
      <c r="D539" s="158">
        <f t="shared" si="22"/>
        <v>0</v>
      </c>
      <c r="F539" s="9"/>
      <c r="G539"/>
      <c r="H539"/>
      <c r="I539"/>
      <c r="J539"/>
      <c r="K539"/>
    </row>
    <row r="540" spans="1:11" ht="12.75">
      <c r="A540" s="193">
        <v>5</v>
      </c>
      <c r="B540" s="200" t="s">
        <v>838</v>
      </c>
      <c r="C540" s="258">
        <f>2000-320</f>
        <v>1680</v>
      </c>
      <c r="D540" s="158">
        <f t="shared" si="22"/>
        <v>1680</v>
      </c>
      <c r="F540" s="9"/>
      <c r="G540"/>
      <c r="H540"/>
      <c r="I540"/>
      <c r="J540"/>
      <c r="K540"/>
    </row>
    <row r="541" spans="1:11" ht="12.75">
      <c r="A541" s="193">
        <v>6</v>
      </c>
      <c r="B541" s="200" t="s">
        <v>839</v>
      </c>
      <c r="C541" s="258"/>
      <c r="D541" s="158">
        <f t="shared" si="22"/>
        <v>0</v>
      </c>
      <c r="F541" s="9"/>
      <c r="G541"/>
      <c r="H541"/>
      <c r="I541"/>
      <c r="J541"/>
      <c r="K541"/>
    </row>
    <row r="542" spans="1:11" ht="12.75">
      <c r="A542" s="193">
        <v>7</v>
      </c>
      <c r="B542" s="200" t="s">
        <v>840</v>
      </c>
      <c r="C542" s="258">
        <f>400-60</f>
        <v>340</v>
      </c>
      <c r="D542" s="158">
        <f t="shared" si="22"/>
        <v>340</v>
      </c>
      <c r="F542" s="9"/>
      <c r="G542"/>
      <c r="H542"/>
      <c r="I542"/>
      <c r="J542"/>
      <c r="K542"/>
    </row>
    <row r="543" spans="1:11" ht="12.75">
      <c r="A543" s="193">
        <v>8</v>
      </c>
      <c r="B543" s="200" t="s">
        <v>842</v>
      </c>
      <c r="C543" s="258"/>
      <c r="D543" s="158">
        <f t="shared" si="22"/>
        <v>0</v>
      </c>
      <c r="F543" s="9"/>
      <c r="G543"/>
      <c r="H543"/>
      <c r="I543"/>
      <c r="J543"/>
      <c r="K543"/>
    </row>
    <row r="544" spans="1:11" ht="12.75">
      <c r="A544" s="193">
        <v>9</v>
      </c>
      <c r="B544" s="200" t="s">
        <v>843</v>
      </c>
      <c r="C544" s="258">
        <f>700-110</f>
        <v>590</v>
      </c>
      <c r="D544" s="158">
        <f t="shared" si="22"/>
        <v>590</v>
      </c>
      <c r="F544" s="9"/>
      <c r="G544"/>
      <c r="H544"/>
      <c r="I544"/>
      <c r="J544"/>
      <c r="K544"/>
    </row>
    <row r="545" spans="1:11" ht="12.75">
      <c r="A545" s="193">
        <v>10</v>
      </c>
      <c r="B545" s="200" t="s">
        <v>844</v>
      </c>
      <c r="C545" s="258"/>
      <c r="D545" s="158">
        <f t="shared" si="22"/>
        <v>0</v>
      </c>
      <c r="F545" s="9"/>
      <c r="G545"/>
      <c r="H545"/>
      <c r="I545"/>
      <c r="J545"/>
      <c r="K545"/>
    </row>
    <row r="546" spans="1:11" ht="12.75">
      <c r="A546" s="193">
        <v>11</v>
      </c>
      <c r="B546" s="200" t="s">
        <v>845</v>
      </c>
      <c r="C546" s="258">
        <f>3500-560</f>
        <v>2940</v>
      </c>
      <c r="D546" s="158">
        <f t="shared" si="22"/>
        <v>2940</v>
      </c>
      <c r="F546" s="9"/>
      <c r="G546"/>
      <c r="H546"/>
      <c r="I546"/>
      <c r="J546"/>
      <c r="K546"/>
    </row>
    <row r="547" spans="1:11" ht="12.75">
      <c r="A547" s="193">
        <v>12</v>
      </c>
      <c r="B547" s="200" t="s">
        <v>846</v>
      </c>
      <c r="C547" s="258"/>
      <c r="D547" s="158">
        <f t="shared" si="22"/>
        <v>0</v>
      </c>
      <c r="F547" s="9"/>
      <c r="G547"/>
      <c r="H547"/>
      <c r="I547"/>
      <c r="J547"/>
      <c r="K547"/>
    </row>
    <row r="548" spans="1:11" ht="12.75">
      <c r="A548" s="193">
        <v>13</v>
      </c>
      <c r="B548" s="200" t="s">
        <v>847</v>
      </c>
      <c r="C548" s="258"/>
      <c r="D548" s="158">
        <f t="shared" si="22"/>
        <v>0</v>
      </c>
      <c r="F548" s="9"/>
      <c r="G548"/>
      <c r="H548"/>
      <c r="I548"/>
      <c r="J548"/>
      <c r="K548"/>
    </row>
    <row r="549" spans="1:11" ht="12.75">
      <c r="A549" s="193">
        <v>14</v>
      </c>
      <c r="B549" s="200" t="s">
        <v>848</v>
      </c>
      <c r="C549" s="258"/>
      <c r="D549" s="158">
        <f t="shared" si="22"/>
        <v>0</v>
      </c>
      <c r="F549" s="9"/>
      <c r="G549"/>
      <c r="H549"/>
      <c r="I549"/>
      <c r="J549"/>
      <c r="K549"/>
    </row>
    <row r="550" spans="1:11" ht="12.75">
      <c r="A550" s="193">
        <v>15</v>
      </c>
      <c r="B550" s="200" t="s">
        <v>849</v>
      </c>
      <c r="C550" s="258">
        <f>10000-1600-3000</f>
        <v>5400</v>
      </c>
      <c r="D550" s="158">
        <f t="shared" si="22"/>
        <v>5400</v>
      </c>
      <c r="F550" s="9"/>
      <c r="G550"/>
      <c r="H550"/>
      <c r="I550"/>
      <c r="J550"/>
      <c r="K550"/>
    </row>
    <row r="551" spans="1:11" ht="12.75">
      <c r="A551" s="193">
        <v>16</v>
      </c>
      <c r="B551" s="200" t="s">
        <v>850</v>
      </c>
      <c r="C551" s="258"/>
      <c r="D551" s="158">
        <f t="shared" si="22"/>
        <v>0</v>
      </c>
      <c r="F551" s="9"/>
      <c r="G551"/>
      <c r="H551"/>
      <c r="I551"/>
      <c r="J551"/>
      <c r="K551"/>
    </row>
    <row r="552" spans="1:11" ht="12.75">
      <c r="A552" s="193">
        <v>17</v>
      </c>
      <c r="B552" s="200" t="s">
        <v>851</v>
      </c>
      <c r="C552" s="258"/>
      <c r="D552" s="158">
        <f t="shared" si="22"/>
        <v>0</v>
      </c>
      <c r="F552" s="9"/>
      <c r="G552"/>
      <c r="H552"/>
      <c r="I552"/>
      <c r="J552"/>
      <c r="K552"/>
    </row>
    <row r="553" spans="1:11" ht="12.75">
      <c r="A553" s="193">
        <v>18</v>
      </c>
      <c r="B553" s="200" t="s">
        <v>852</v>
      </c>
      <c r="C553" s="258"/>
      <c r="D553" s="158">
        <f t="shared" si="22"/>
        <v>0</v>
      </c>
      <c r="F553" s="9"/>
      <c r="G553"/>
      <c r="H553"/>
      <c r="I553"/>
      <c r="J553"/>
      <c r="K553"/>
    </row>
    <row r="554" spans="1:11" ht="12.75">
      <c r="A554" s="193">
        <v>19</v>
      </c>
      <c r="B554" s="200" t="s">
        <v>853</v>
      </c>
      <c r="C554" s="258"/>
      <c r="D554" s="158">
        <f t="shared" si="22"/>
        <v>0</v>
      </c>
      <c r="F554" s="9"/>
      <c r="G554"/>
      <c r="H554"/>
      <c r="I554"/>
      <c r="J554"/>
      <c r="K554"/>
    </row>
    <row r="555" spans="1:11" ht="12.75">
      <c r="A555" s="159"/>
      <c r="B555" s="160" t="s">
        <v>638</v>
      </c>
      <c r="C555" s="158">
        <f>SUM(C536:C554)</f>
        <v>12630</v>
      </c>
      <c r="D555" s="158">
        <f>SUM(D536:D554)</f>
        <v>12630</v>
      </c>
      <c r="F555"/>
      <c r="G555"/>
      <c r="H555"/>
      <c r="I555"/>
      <c r="J555"/>
      <c r="K555"/>
    </row>
    <row r="556" ht="12.75"/>
    <row r="557" spans="1:11" ht="12.75">
      <c r="A557" s="157" t="s">
        <v>621</v>
      </c>
      <c r="B557" s="160" t="s">
        <v>990</v>
      </c>
      <c r="C557" s="157" t="s">
        <v>1014</v>
      </c>
      <c r="D557" s="157" t="s">
        <v>90</v>
      </c>
      <c r="F557"/>
      <c r="G557"/>
      <c r="H557"/>
      <c r="I557"/>
      <c r="J557"/>
      <c r="K557"/>
    </row>
    <row r="558" spans="1:11" ht="12.75">
      <c r="A558" s="157"/>
      <c r="B558" s="276"/>
      <c r="C558" s="157" t="s">
        <v>1020</v>
      </c>
      <c r="D558" s="157" t="s">
        <v>638</v>
      </c>
      <c r="F558"/>
      <c r="G558"/>
      <c r="H558"/>
      <c r="I558"/>
      <c r="J558"/>
      <c r="K558"/>
    </row>
    <row r="559" spans="1:11" ht="12.75">
      <c r="A559" s="277" t="s">
        <v>1002</v>
      </c>
      <c r="F559"/>
      <c r="G559"/>
      <c r="H559"/>
      <c r="I559"/>
      <c r="J559"/>
      <c r="K559"/>
    </row>
    <row r="560" spans="1:11" ht="12.75">
      <c r="A560" s="193">
        <v>1</v>
      </c>
      <c r="B560" s="200" t="s">
        <v>854</v>
      </c>
      <c r="C560" s="258"/>
      <c r="D560" s="158">
        <f aca="true" t="shared" si="23" ref="D560:D581">SUM(C560:C560)</f>
        <v>0</v>
      </c>
      <c r="F560" s="9"/>
      <c r="G560"/>
      <c r="H560"/>
      <c r="I560"/>
      <c r="J560"/>
      <c r="K560"/>
    </row>
    <row r="561" spans="1:11" ht="12.75">
      <c r="A561" s="193">
        <v>2</v>
      </c>
      <c r="B561" s="200" t="s">
        <v>855</v>
      </c>
      <c r="C561" s="258"/>
      <c r="D561" s="158">
        <f t="shared" si="23"/>
        <v>0</v>
      </c>
      <c r="F561" s="9"/>
      <c r="G561"/>
      <c r="H561"/>
      <c r="I561"/>
      <c r="J561"/>
      <c r="K561"/>
    </row>
    <row r="562" spans="1:11" ht="12.75">
      <c r="A562" s="193">
        <v>3</v>
      </c>
      <c r="B562" s="200" t="s">
        <v>856</v>
      </c>
      <c r="C562" s="258">
        <f>500-80</f>
        <v>420</v>
      </c>
      <c r="D562" s="158">
        <f t="shared" si="23"/>
        <v>420</v>
      </c>
      <c r="F562" s="9"/>
      <c r="G562"/>
      <c r="H562"/>
      <c r="I562"/>
      <c r="J562"/>
      <c r="K562"/>
    </row>
    <row r="563" spans="1:11" ht="12.75">
      <c r="A563" s="193">
        <v>4</v>
      </c>
      <c r="B563" s="200" t="s">
        <v>857</v>
      </c>
      <c r="C563" s="258"/>
      <c r="D563" s="158">
        <f t="shared" si="23"/>
        <v>0</v>
      </c>
      <c r="F563" s="9"/>
      <c r="G563"/>
      <c r="H563"/>
      <c r="I563"/>
      <c r="J563"/>
      <c r="K563"/>
    </row>
    <row r="564" spans="1:11" ht="12.75">
      <c r="A564" s="193">
        <v>5</v>
      </c>
      <c r="B564" s="200" t="s">
        <v>858</v>
      </c>
      <c r="C564" s="258"/>
      <c r="D564" s="158">
        <f t="shared" si="23"/>
        <v>0</v>
      </c>
      <c r="F564" s="9"/>
      <c r="G564"/>
      <c r="H564"/>
      <c r="I564"/>
      <c r="J564"/>
      <c r="K564"/>
    </row>
    <row r="565" spans="1:11" ht="12.75">
      <c r="A565" s="193">
        <v>6</v>
      </c>
      <c r="B565" s="200" t="s">
        <v>859</v>
      </c>
      <c r="C565" s="258"/>
      <c r="D565" s="158">
        <f t="shared" si="23"/>
        <v>0</v>
      </c>
      <c r="F565" s="9"/>
      <c r="G565"/>
      <c r="H565"/>
      <c r="I565"/>
      <c r="J565"/>
      <c r="K565"/>
    </row>
    <row r="566" spans="1:11" ht="12.75">
      <c r="A566" s="193">
        <v>7</v>
      </c>
      <c r="B566" s="200" t="s">
        <v>860</v>
      </c>
      <c r="C566" s="258">
        <f>165910-26540-49000</f>
        <v>90370</v>
      </c>
      <c r="D566" s="158">
        <f t="shared" si="23"/>
        <v>90370</v>
      </c>
      <c r="F566" s="9"/>
      <c r="G566"/>
      <c r="H566"/>
      <c r="I566"/>
      <c r="J566"/>
      <c r="K566"/>
    </row>
    <row r="567" spans="1:11" ht="12.75">
      <c r="A567" s="193">
        <v>8</v>
      </c>
      <c r="B567" s="200" t="s">
        <v>861</v>
      </c>
      <c r="C567" s="258"/>
      <c r="D567" s="158">
        <f t="shared" si="23"/>
        <v>0</v>
      </c>
      <c r="F567" s="9"/>
      <c r="G567"/>
      <c r="H567"/>
      <c r="I567"/>
      <c r="J567"/>
      <c r="K567"/>
    </row>
    <row r="568" spans="1:11" ht="12.75">
      <c r="A568" s="193">
        <v>9</v>
      </c>
      <c r="B568" s="200" t="s">
        <v>862</v>
      </c>
      <c r="C568" s="258">
        <f>10000-1600</f>
        <v>8400</v>
      </c>
      <c r="D568" s="158">
        <f t="shared" si="23"/>
        <v>8400</v>
      </c>
      <c r="F568" s="9"/>
      <c r="G568"/>
      <c r="H568"/>
      <c r="I568"/>
      <c r="J568"/>
      <c r="K568"/>
    </row>
    <row r="569" spans="1:11" ht="12.75">
      <c r="A569" s="193">
        <v>10</v>
      </c>
      <c r="B569" s="200" t="s">
        <v>863</v>
      </c>
      <c r="C569" s="258">
        <f>10000-1600</f>
        <v>8400</v>
      </c>
      <c r="D569" s="158">
        <f t="shared" si="23"/>
        <v>8400</v>
      </c>
      <c r="F569" s="9"/>
      <c r="G569"/>
      <c r="H569"/>
      <c r="I569"/>
      <c r="J569"/>
      <c r="K569"/>
    </row>
    <row r="570" spans="1:11" ht="12.75">
      <c r="A570" s="193">
        <v>11</v>
      </c>
      <c r="B570" s="200" t="s">
        <v>864</v>
      </c>
      <c r="C570" s="258"/>
      <c r="D570" s="158">
        <f t="shared" si="23"/>
        <v>0</v>
      </c>
      <c r="F570" s="9"/>
      <c r="G570"/>
      <c r="H570"/>
      <c r="I570"/>
      <c r="J570"/>
      <c r="K570"/>
    </row>
    <row r="571" spans="1:11" ht="12.75">
      <c r="A571" s="193">
        <v>12</v>
      </c>
      <c r="B571" s="200" t="s">
        <v>865</v>
      </c>
      <c r="C571" s="258"/>
      <c r="D571" s="158">
        <f t="shared" si="23"/>
        <v>0</v>
      </c>
      <c r="F571" s="9"/>
      <c r="G571"/>
      <c r="H571"/>
      <c r="I571"/>
      <c r="J571"/>
      <c r="K571"/>
    </row>
    <row r="572" spans="1:11" ht="12.75">
      <c r="A572" s="193">
        <v>13</v>
      </c>
      <c r="B572" s="200" t="s">
        <v>866</v>
      </c>
      <c r="C572" s="258"/>
      <c r="D572" s="158">
        <f t="shared" si="23"/>
        <v>0</v>
      </c>
      <c r="F572" s="9"/>
      <c r="G572"/>
      <c r="H572"/>
      <c r="I572"/>
      <c r="J572"/>
      <c r="K572"/>
    </row>
    <row r="573" spans="1:11" ht="12.75">
      <c r="A573" s="193">
        <v>14</v>
      </c>
      <c r="B573" s="200" t="s">
        <v>867</v>
      </c>
      <c r="C573" s="258"/>
      <c r="D573" s="158">
        <f t="shared" si="23"/>
        <v>0</v>
      </c>
      <c r="F573" s="9"/>
      <c r="G573"/>
      <c r="H573"/>
      <c r="I573"/>
      <c r="J573"/>
      <c r="K573"/>
    </row>
    <row r="574" spans="1:11" ht="12.75">
      <c r="A574" s="193">
        <v>15</v>
      </c>
      <c r="B574" s="200" t="s">
        <v>868</v>
      </c>
      <c r="C574" s="258"/>
      <c r="D574" s="158">
        <f t="shared" si="23"/>
        <v>0</v>
      </c>
      <c r="F574" s="9"/>
      <c r="G574"/>
      <c r="H574"/>
      <c r="I574"/>
      <c r="J574"/>
      <c r="K574"/>
    </row>
    <row r="575" spans="1:11" ht="12.75">
      <c r="A575" s="193">
        <v>16</v>
      </c>
      <c r="B575" s="200" t="s">
        <v>869</v>
      </c>
      <c r="C575" s="258"/>
      <c r="D575" s="158">
        <f t="shared" si="23"/>
        <v>0</v>
      </c>
      <c r="F575" s="9"/>
      <c r="G575"/>
      <c r="H575"/>
      <c r="I575"/>
      <c r="J575"/>
      <c r="K575"/>
    </row>
    <row r="576" spans="1:11" ht="12.75">
      <c r="A576" s="193">
        <v>17</v>
      </c>
      <c r="B576" s="200" t="s">
        <v>870</v>
      </c>
      <c r="C576" s="258">
        <f>5000-800</f>
        <v>4200</v>
      </c>
      <c r="D576" s="158">
        <f t="shared" si="23"/>
        <v>4200</v>
      </c>
      <c r="F576" s="9"/>
      <c r="G576"/>
      <c r="H576"/>
      <c r="I576"/>
      <c r="J576"/>
      <c r="K576"/>
    </row>
    <row r="577" spans="1:11" ht="12.75">
      <c r="A577" s="193">
        <v>18</v>
      </c>
      <c r="B577" s="200" t="s">
        <v>871</v>
      </c>
      <c r="C577" s="258"/>
      <c r="D577" s="158">
        <f t="shared" si="23"/>
        <v>0</v>
      </c>
      <c r="F577" s="9"/>
      <c r="G577"/>
      <c r="H577"/>
      <c r="I577"/>
      <c r="J577"/>
      <c r="K577"/>
    </row>
    <row r="578" spans="1:11" ht="12.75">
      <c r="A578" s="193">
        <v>19</v>
      </c>
      <c r="B578" s="200" t="s">
        <v>872</v>
      </c>
      <c r="C578" s="258"/>
      <c r="D578" s="158">
        <f t="shared" si="23"/>
        <v>0</v>
      </c>
      <c r="F578" s="9"/>
      <c r="G578"/>
      <c r="H578"/>
      <c r="I578"/>
      <c r="J578"/>
      <c r="K578"/>
    </row>
    <row r="579" spans="1:11" ht="12.75">
      <c r="A579" s="193">
        <v>20</v>
      </c>
      <c r="B579" s="200" t="s">
        <v>873</v>
      </c>
      <c r="C579" s="258">
        <f>8000-1280</f>
        <v>6720</v>
      </c>
      <c r="D579" s="158">
        <f t="shared" si="23"/>
        <v>6720</v>
      </c>
      <c r="F579" s="9"/>
      <c r="G579"/>
      <c r="H579"/>
      <c r="I579"/>
      <c r="J579"/>
      <c r="K579"/>
    </row>
    <row r="580" spans="1:11" ht="12.75">
      <c r="A580" s="193">
        <v>21</v>
      </c>
      <c r="B580" s="200" t="s">
        <v>108</v>
      </c>
      <c r="C580" s="258">
        <f>5400-860</f>
        <v>4540</v>
      </c>
      <c r="D580" s="158">
        <f t="shared" si="23"/>
        <v>4540</v>
      </c>
      <c r="F580" s="9"/>
      <c r="G580"/>
      <c r="H580"/>
      <c r="I580"/>
      <c r="J580"/>
      <c r="K580"/>
    </row>
    <row r="581" spans="1:11" ht="12.75">
      <c r="A581" s="193" t="s">
        <v>106</v>
      </c>
      <c r="B581" s="200" t="s">
        <v>117</v>
      </c>
      <c r="C581" s="258">
        <f>232000-37120</f>
        <v>194880</v>
      </c>
      <c r="D581" s="158">
        <f t="shared" si="23"/>
        <v>194880</v>
      </c>
      <c r="F581" s="9"/>
      <c r="G581"/>
      <c r="H581"/>
      <c r="I581"/>
      <c r="J581"/>
      <c r="K581"/>
    </row>
    <row r="582" spans="1:11" ht="12.75">
      <c r="A582" s="159"/>
      <c r="B582" s="160" t="s">
        <v>638</v>
      </c>
      <c r="C582" s="158">
        <f>SUM(C560:C581)</f>
        <v>317930</v>
      </c>
      <c r="D582" s="158">
        <f>SUM(D560:D581)</f>
        <v>317930</v>
      </c>
      <c r="F582"/>
      <c r="G582"/>
      <c r="H582"/>
      <c r="I582"/>
      <c r="J582"/>
      <c r="K582"/>
    </row>
    <row r="583" ht="12.75"/>
    <row r="584" ht="12.75"/>
    <row r="585" spans="1:11" ht="12.75">
      <c r="A585" s="157" t="s">
        <v>621</v>
      </c>
      <c r="B585" s="160" t="s">
        <v>1016</v>
      </c>
      <c r="C585" s="157" t="s">
        <v>1014</v>
      </c>
      <c r="D585" s="157" t="s">
        <v>90</v>
      </c>
      <c r="F585"/>
      <c r="G585"/>
      <c r="H585"/>
      <c r="J585"/>
      <c r="K585"/>
    </row>
    <row r="586" spans="1:11" ht="12.75">
      <c r="A586" s="157"/>
      <c r="B586" s="276"/>
      <c r="C586" s="157" t="s">
        <v>1020</v>
      </c>
      <c r="D586" s="157" t="s">
        <v>638</v>
      </c>
      <c r="F586"/>
      <c r="G586"/>
      <c r="H586"/>
      <c r="I586"/>
      <c r="J586"/>
      <c r="K586"/>
    </row>
    <row r="587" spans="1:11" ht="12.75">
      <c r="A587" s="277" t="s">
        <v>1003</v>
      </c>
      <c r="F587"/>
      <c r="G587"/>
      <c r="H587"/>
      <c r="I587"/>
      <c r="J587"/>
      <c r="K587"/>
    </row>
    <row r="588" spans="1:11" ht="12.75">
      <c r="A588" s="193">
        <v>1</v>
      </c>
      <c r="B588" s="200" t="s">
        <v>875</v>
      </c>
      <c r="C588" s="258"/>
      <c r="D588" s="158">
        <f aca="true" t="shared" si="24" ref="D588:D598">SUM(C588:C588)</f>
        <v>0</v>
      </c>
      <c r="F588" s="9"/>
      <c r="G588"/>
      <c r="H588"/>
      <c r="I588"/>
      <c r="J588"/>
      <c r="K588"/>
    </row>
    <row r="589" spans="1:11" ht="12.75">
      <c r="A589" s="193">
        <v>2</v>
      </c>
      <c r="B589" s="200" t="s">
        <v>876</v>
      </c>
      <c r="C589" s="258"/>
      <c r="D589" s="158">
        <f t="shared" si="24"/>
        <v>0</v>
      </c>
      <c r="F589" s="9"/>
      <c r="G589"/>
      <c r="H589"/>
      <c r="I589"/>
      <c r="J589"/>
      <c r="K589"/>
    </row>
    <row r="590" spans="1:11" ht="12.75">
      <c r="A590" s="193">
        <v>3</v>
      </c>
      <c r="B590" s="200" t="s">
        <v>877</v>
      </c>
      <c r="C590" s="258"/>
      <c r="D590" s="158">
        <f t="shared" si="24"/>
        <v>0</v>
      </c>
      <c r="F590" s="9"/>
      <c r="G590"/>
      <c r="H590"/>
      <c r="I590"/>
      <c r="J590"/>
      <c r="K590"/>
    </row>
    <row r="591" spans="1:11" ht="12.75">
      <c r="A591" s="193">
        <v>4</v>
      </c>
      <c r="B591" s="200" t="s">
        <v>878</v>
      </c>
      <c r="C591" s="258"/>
      <c r="D591" s="158">
        <f t="shared" si="24"/>
        <v>0</v>
      </c>
      <c r="F591" s="9"/>
      <c r="G591"/>
      <c r="H591"/>
      <c r="I591"/>
      <c r="J591"/>
      <c r="K591"/>
    </row>
    <row r="592" spans="1:11" ht="12.75">
      <c r="A592" s="193">
        <v>5</v>
      </c>
      <c r="B592" s="200" t="s">
        <v>879</v>
      </c>
      <c r="C592" s="258"/>
      <c r="D592" s="158">
        <f t="shared" si="24"/>
        <v>0</v>
      </c>
      <c r="F592" s="9"/>
      <c r="G592"/>
      <c r="H592"/>
      <c r="I592"/>
      <c r="J592"/>
      <c r="K592"/>
    </row>
    <row r="593" spans="1:11" ht="12.75">
      <c r="A593" s="193">
        <v>6</v>
      </c>
      <c r="B593" s="200" t="s">
        <v>880</v>
      </c>
      <c r="C593" s="258"/>
      <c r="D593" s="158">
        <f t="shared" si="24"/>
        <v>0</v>
      </c>
      <c r="F593" s="9"/>
      <c r="G593"/>
      <c r="H593"/>
      <c r="I593"/>
      <c r="J593"/>
      <c r="K593"/>
    </row>
    <row r="594" spans="1:11" ht="12.75">
      <c r="A594" s="193">
        <v>7</v>
      </c>
      <c r="B594" s="200" t="s">
        <v>893</v>
      </c>
      <c r="C594" s="258"/>
      <c r="D594" s="158">
        <f t="shared" si="24"/>
        <v>0</v>
      </c>
      <c r="F594" s="9"/>
      <c r="G594"/>
      <c r="H594"/>
      <c r="I594"/>
      <c r="J594"/>
      <c r="K594"/>
    </row>
    <row r="595" spans="1:11" ht="12.75">
      <c r="A595" s="193">
        <v>8</v>
      </c>
      <c r="B595" s="200" t="s">
        <v>894</v>
      </c>
      <c r="C595" s="258">
        <f>4000-640-1000</f>
        <v>2360</v>
      </c>
      <c r="D595" s="158">
        <f t="shared" si="24"/>
        <v>2360</v>
      </c>
      <c r="F595" s="9"/>
      <c r="G595"/>
      <c r="H595"/>
      <c r="I595"/>
      <c r="J595"/>
      <c r="K595"/>
    </row>
    <row r="596" spans="1:11" ht="12.75">
      <c r="A596" s="193">
        <v>9</v>
      </c>
      <c r="B596" s="200" t="s">
        <v>897</v>
      </c>
      <c r="C596" s="258"/>
      <c r="D596" s="158">
        <f t="shared" si="24"/>
        <v>0</v>
      </c>
      <c r="F596" s="9"/>
      <c r="G596"/>
      <c r="H596"/>
      <c r="I596"/>
      <c r="J596"/>
      <c r="K596"/>
    </row>
    <row r="597" spans="1:11" ht="12.75">
      <c r="A597" s="193">
        <v>10</v>
      </c>
      <c r="B597" s="200" t="s">
        <v>895</v>
      </c>
      <c r="C597" s="258">
        <f>4000-640</f>
        <v>3360</v>
      </c>
      <c r="D597" s="158">
        <f t="shared" si="24"/>
        <v>3360</v>
      </c>
      <c r="F597" s="9"/>
      <c r="G597"/>
      <c r="H597"/>
      <c r="I597"/>
      <c r="J597"/>
      <c r="K597"/>
    </row>
    <row r="598" spans="1:11" ht="12.75">
      <c r="A598" s="193" t="s">
        <v>911</v>
      </c>
      <c r="B598" s="200" t="s">
        <v>738</v>
      </c>
      <c r="C598" s="258">
        <f>100-10</f>
        <v>90</v>
      </c>
      <c r="D598" s="158">
        <f t="shared" si="24"/>
        <v>90</v>
      </c>
      <c r="F598" s="9"/>
      <c r="G598"/>
      <c r="H598"/>
      <c r="I598"/>
      <c r="J598"/>
      <c r="K598"/>
    </row>
    <row r="599" spans="1:11" ht="12.75">
      <c r="A599" s="159"/>
      <c r="B599" s="160" t="s">
        <v>638</v>
      </c>
      <c r="C599" s="158">
        <f>SUM(C588:C598)</f>
        <v>5810</v>
      </c>
      <c r="D599" s="158">
        <f>SUM(D588:D598)</f>
        <v>5810</v>
      </c>
      <c r="F599"/>
      <c r="G599"/>
      <c r="H599"/>
      <c r="I599"/>
      <c r="J599"/>
      <c r="K599"/>
    </row>
    <row r="600" ht="12.75">
      <c r="K600"/>
    </row>
    <row r="601" spans="1:4" ht="12.75">
      <c r="A601" s="87" t="str">
        <f>+A528</f>
        <v> </v>
      </c>
      <c r="B601" s="84"/>
      <c r="C601" s="107" t="s">
        <v>375</v>
      </c>
      <c r="D601" s="84"/>
    </row>
    <row r="602" spans="1:10" ht="12.75">
      <c r="A602" s="778" t="s">
        <v>383</v>
      </c>
      <c r="B602" s="778"/>
      <c r="C602" s="778"/>
      <c r="D602" s="778"/>
      <c r="E602" s="14"/>
      <c r="F602" s="14"/>
      <c r="G602" s="14"/>
      <c r="H602" s="14"/>
      <c r="I602" s="14"/>
      <c r="J602" s="14"/>
    </row>
    <row r="603" spans="1:4" ht="12.75">
      <c r="A603" s="91" t="str">
        <f>+A530</f>
        <v>Juris.:</v>
      </c>
      <c r="B603" s="83" t="s">
        <v>1021</v>
      </c>
      <c r="C603" s="84"/>
      <c r="D603" s="84"/>
    </row>
    <row r="604" spans="1:2" ht="12.75">
      <c r="A604" s="33" t="s">
        <v>1012</v>
      </c>
      <c r="B604" s="14"/>
    </row>
    <row r="605" ht="12.75"/>
    <row r="606" spans="1:11" ht="12.75">
      <c r="A606" s="157" t="s">
        <v>621</v>
      </c>
      <c r="B606" s="160" t="s">
        <v>996</v>
      </c>
      <c r="C606" s="157" t="s">
        <v>1014</v>
      </c>
      <c r="D606" s="157" t="s">
        <v>91</v>
      </c>
      <c r="F606" s="564"/>
      <c r="G606"/>
      <c r="H606"/>
      <c r="I606"/>
      <c r="J606"/>
      <c r="K606"/>
    </row>
    <row r="607" spans="1:11" ht="12.75">
      <c r="A607" s="157"/>
      <c r="B607" s="276"/>
      <c r="C607" s="157" t="s">
        <v>1022</v>
      </c>
      <c r="D607" s="157" t="s">
        <v>638</v>
      </c>
      <c r="E607"/>
      <c r="G607"/>
      <c r="H607"/>
      <c r="I607"/>
      <c r="J607"/>
      <c r="K607"/>
    </row>
    <row r="608" spans="1:11" ht="12.75">
      <c r="A608" s="277" t="s">
        <v>995</v>
      </c>
      <c r="E608"/>
      <c r="F608"/>
      <c r="G608"/>
      <c r="H608"/>
      <c r="I608"/>
      <c r="J608"/>
      <c r="K608"/>
    </row>
    <row r="609" spans="1:11" ht="12.75">
      <c r="A609" s="197" t="s">
        <v>666</v>
      </c>
      <c r="B609" s="200" t="s">
        <v>667</v>
      </c>
      <c r="C609" s="258">
        <f>1637280-206590</f>
        <v>1430690</v>
      </c>
      <c r="D609" s="158">
        <f aca="true" t="shared" si="25" ref="D609:D622">SUM(C609:C609)</f>
        <v>1430690</v>
      </c>
      <c r="E609"/>
      <c r="F609" s="9"/>
      <c r="G609"/>
      <c r="H609"/>
      <c r="I609"/>
      <c r="J609"/>
      <c r="K609"/>
    </row>
    <row r="610" spans="1:11" ht="12.75">
      <c r="A610" s="197" t="s">
        <v>668</v>
      </c>
      <c r="B610" s="200" t="s">
        <v>669</v>
      </c>
      <c r="C610" s="258">
        <f>600820-54030</f>
        <v>546790</v>
      </c>
      <c r="D610" s="158">
        <f t="shared" si="25"/>
        <v>546790</v>
      </c>
      <c r="E610"/>
      <c r="F610" s="9"/>
      <c r="G610"/>
      <c r="H610"/>
      <c r="I610"/>
      <c r="J610"/>
      <c r="K610"/>
    </row>
    <row r="611" spans="1:11" ht="12.75">
      <c r="A611" s="197" t="s">
        <v>670</v>
      </c>
      <c r="B611" s="200" t="s">
        <v>726</v>
      </c>
      <c r="C611" s="258">
        <v>0</v>
      </c>
      <c r="D611" s="158">
        <f t="shared" si="25"/>
        <v>0</v>
      </c>
      <c r="E611"/>
      <c r="F611" s="9"/>
      <c r="G611"/>
      <c r="H611"/>
      <c r="I611"/>
      <c r="J611"/>
      <c r="K611"/>
    </row>
    <row r="612" spans="1:11" ht="12.75">
      <c r="A612" s="197" t="s">
        <v>672</v>
      </c>
      <c r="B612" s="200" t="s">
        <v>671</v>
      </c>
      <c r="C612" s="258">
        <f>345810-33830</f>
        <v>311980</v>
      </c>
      <c r="D612" s="158">
        <f t="shared" si="25"/>
        <v>311980</v>
      </c>
      <c r="E612"/>
      <c r="F612" s="9"/>
      <c r="G612"/>
      <c r="H612"/>
      <c r="I612"/>
      <c r="J612"/>
      <c r="K612"/>
    </row>
    <row r="613" spans="1:11" ht="12.75">
      <c r="A613" s="197" t="s">
        <v>673</v>
      </c>
      <c r="B613" s="200" t="s">
        <v>674</v>
      </c>
      <c r="C613" s="258">
        <f>1186660-87460</f>
        <v>1099200</v>
      </c>
      <c r="D613" s="158">
        <f t="shared" si="25"/>
        <v>1099200</v>
      </c>
      <c r="E613"/>
      <c r="F613" s="9"/>
      <c r="G613"/>
      <c r="H613"/>
      <c r="I613"/>
      <c r="J613"/>
      <c r="K613"/>
    </row>
    <row r="614" spans="1:11" ht="12.75">
      <c r="A614" s="197" t="s">
        <v>675</v>
      </c>
      <c r="B614" s="200" t="s">
        <v>727</v>
      </c>
      <c r="C614" s="258">
        <f>152760-6110</f>
        <v>146650</v>
      </c>
      <c r="D614" s="158">
        <f t="shared" si="25"/>
        <v>146650</v>
      </c>
      <c r="E614"/>
      <c r="F614" s="9"/>
      <c r="G614"/>
      <c r="H614"/>
      <c r="I614"/>
      <c r="J614"/>
      <c r="K614"/>
    </row>
    <row r="615" spans="1:11" ht="12.75">
      <c r="A615" s="197" t="s">
        <v>677</v>
      </c>
      <c r="B615" s="200" t="s">
        <v>676</v>
      </c>
      <c r="C615" s="258">
        <f>362590-14500</f>
        <v>348090</v>
      </c>
      <c r="D615" s="158">
        <f t="shared" si="25"/>
        <v>348090</v>
      </c>
      <c r="E615"/>
      <c r="F615" s="9"/>
      <c r="G615"/>
      <c r="H615"/>
      <c r="I615"/>
      <c r="J615"/>
      <c r="K615"/>
    </row>
    <row r="616" spans="1:11" ht="12.75">
      <c r="A616" s="197" t="s">
        <v>679</v>
      </c>
      <c r="B616" s="200" t="s">
        <v>678</v>
      </c>
      <c r="C616" s="258">
        <f>338540-13540</f>
        <v>325000</v>
      </c>
      <c r="D616" s="158">
        <f t="shared" si="25"/>
        <v>325000</v>
      </c>
      <c r="E616"/>
      <c r="F616" s="9"/>
      <c r="G616"/>
      <c r="H616"/>
      <c r="I616"/>
      <c r="J616"/>
      <c r="K616"/>
    </row>
    <row r="617" spans="1:11" ht="12.75">
      <c r="A617" s="197" t="s">
        <v>680</v>
      </c>
      <c r="B617" s="200" t="s">
        <v>728</v>
      </c>
      <c r="C617" s="258">
        <f>69340-2770</f>
        <v>66570</v>
      </c>
      <c r="D617" s="158">
        <f t="shared" si="25"/>
        <v>66570</v>
      </c>
      <c r="E617"/>
      <c r="F617" s="9"/>
      <c r="G617"/>
      <c r="H617"/>
      <c r="I617"/>
      <c r="J617"/>
      <c r="K617"/>
    </row>
    <row r="618" spans="1:11" ht="12.75">
      <c r="A618" s="197" t="s">
        <v>681</v>
      </c>
      <c r="B618" s="200" t="s">
        <v>730</v>
      </c>
      <c r="C618" s="258">
        <f>381710-15260</f>
        <v>366450</v>
      </c>
      <c r="D618" s="158">
        <f t="shared" si="25"/>
        <v>366450</v>
      </c>
      <c r="E618"/>
      <c r="F618" s="9"/>
      <c r="G618"/>
      <c r="H618"/>
      <c r="I618"/>
      <c r="J618"/>
      <c r="K618"/>
    </row>
    <row r="619" spans="1:11" ht="12.75">
      <c r="A619" s="197" t="s">
        <v>725</v>
      </c>
      <c r="B619" s="200" t="s">
        <v>731</v>
      </c>
      <c r="C619" s="258">
        <f>498930-39950</f>
        <v>458980</v>
      </c>
      <c r="D619" s="158">
        <f t="shared" si="25"/>
        <v>458980</v>
      </c>
      <c r="E619"/>
      <c r="F619" s="9"/>
      <c r="G619"/>
      <c r="H619"/>
      <c r="I619"/>
      <c r="J619"/>
      <c r="K619"/>
    </row>
    <row r="620" spans="1:11" ht="12.75">
      <c r="A620" s="197" t="s">
        <v>729</v>
      </c>
      <c r="B620" s="200" t="s">
        <v>732</v>
      </c>
      <c r="C620" s="258">
        <f>334510-23380</f>
        <v>311130</v>
      </c>
      <c r="D620" s="158">
        <f t="shared" si="25"/>
        <v>311130</v>
      </c>
      <c r="E620"/>
      <c r="F620" s="9"/>
      <c r="G620"/>
      <c r="H620"/>
      <c r="I620"/>
      <c r="J620"/>
      <c r="K620"/>
    </row>
    <row r="621" spans="1:11" ht="12.75">
      <c r="A621" s="197" t="s">
        <v>733</v>
      </c>
      <c r="B621" s="200" t="s">
        <v>735</v>
      </c>
      <c r="C621" s="258">
        <f>45520-1820</f>
        <v>43700</v>
      </c>
      <c r="D621" s="158">
        <f t="shared" si="25"/>
        <v>43700</v>
      </c>
      <c r="E621"/>
      <c r="F621" s="9"/>
      <c r="G621"/>
      <c r="H621"/>
      <c r="I621"/>
      <c r="J621"/>
      <c r="K621"/>
    </row>
    <row r="622" spans="1:11" ht="12.75">
      <c r="A622" s="197" t="s">
        <v>734</v>
      </c>
      <c r="B622" s="200" t="s">
        <v>736</v>
      </c>
      <c r="C622" s="258">
        <v>0</v>
      </c>
      <c r="D622" s="158">
        <f t="shared" si="25"/>
        <v>0</v>
      </c>
      <c r="E622"/>
      <c r="F622" s="9"/>
      <c r="G622"/>
      <c r="H622"/>
      <c r="I622"/>
      <c r="J622"/>
      <c r="K622"/>
    </row>
    <row r="623" spans="1:11" ht="12.75">
      <c r="A623" s="159"/>
      <c r="B623" s="160" t="s">
        <v>638</v>
      </c>
      <c r="C623" s="158">
        <f>SUM(C609:C622)</f>
        <v>5455230</v>
      </c>
      <c r="D623" s="158">
        <f>SUM(D609:D622)</f>
        <v>5455230</v>
      </c>
      <c r="E623"/>
      <c r="F623"/>
      <c r="G623"/>
      <c r="H623"/>
      <c r="I623"/>
      <c r="J623"/>
      <c r="K623"/>
    </row>
    <row r="624" ht="12.75"/>
    <row r="625" spans="1:11" ht="12.75">
      <c r="A625" s="157" t="s">
        <v>621</v>
      </c>
      <c r="B625" s="160" t="s">
        <v>998</v>
      </c>
      <c r="C625" s="157" t="s">
        <v>1014</v>
      </c>
      <c r="D625" s="157" t="s">
        <v>91</v>
      </c>
      <c r="G625"/>
      <c r="H625"/>
      <c r="I625"/>
      <c r="J625"/>
      <c r="K625"/>
    </row>
    <row r="626" spans="1:11" ht="12.75">
      <c r="A626" s="157"/>
      <c r="B626" s="276"/>
      <c r="C626" s="157" t="s">
        <v>1022</v>
      </c>
      <c r="D626" s="157" t="s">
        <v>638</v>
      </c>
      <c r="E626"/>
      <c r="F626"/>
      <c r="G626"/>
      <c r="H626"/>
      <c r="I626"/>
      <c r="J626"/>
      <c r="K626"/>
    </row>
    <row r="627" spans="1:11" ht="12.75">
      <c r="A627" s="277" t="s">
        <v>999</v>
      </c>
      <c r="E627"/>
      <c r="F627"/>
      <c r="G627"/>
      <c r="H627"/>
      <c r="I627"/>
      <c r="J627"/>
      <c r="K627"/>
    </row>
    <row r="628" spans="1:11" ht="12.75">
      <c r="A628" s="279" t="s">
        <v>666</v>
      </c>
      <c r="B628" s="200" t="s">
        <v>667</v>
      </c>
      <c r="C628" s="258">
        <f>611590-24460</f>
        <v>587130</v>
      </c>
      <c r="D628" s="158">
        <f aca="true" t="shared" si="26" ref="D628:D641">SUM(C628:C628)</f>
        <v>587130</v>
      </c>
      <c r="E628"/>
      <c r="F628" s="9"/>
      <c r="G628"/>
      <c r="H628"/>
      <c r="I628"/>
      <c r="J628"/>
      <c r="K628"/>
    </row>
    <row r="629" spans="1:11" ht="12.75">
      <c r="A629" s="197" t="s">
        <v>668</v>
      </c>
      <c r="B629" s="200" t="s">
        <v>669</v>
      </c>
      <c r="C629" s="258">
        <f>25660-1020</f>
        <v>24640</v>
      </c>
      <c r="D629" s="158">
        <f t="shared" si="26"/>
        <v>24640</v>
      </c>
      <c r="E629"/>
      <c r="F629" s="9"/>
      <c r="G629"/>
      <c r="H629"/>
      <c r="I629"/>
      <c r="J629"/>
      <c r="K629"/>
    </row>
    <row r="630" spans="1:11" ht="12.75">
      <c r="A630" s="197" t="s">
        <v>670</v>
      </c>
      <c r="B630" s="200" t="s">
        <v>726</v>
      </c>
      <c r="C630" s="258">
        <v>0</v>
      </c>
      <c r="D630" s="158">
        <f t="shared" si="26"/>
        <v>0</v>
      </c>
      <c r="E630"/>
      <c r="F630" s="9"/>
      <c r="G630"/>
      <c r="H630"/>
      <c r="I630"/>
      <c r="J630"/>
      <c r="K630"/>
    </row>
    <row r="631" spans="1:11" ht="12.75">
      <c r="A631" s="197" t="s">
        <v>672</v>
      </c>
      <c r="B631" s="200" t="s">
        <v>671</v>
      </c>
      <c r="C631" s="258">
        <f>16290-650</f>
        <v>15640</v>
      </c>
      <c r="D631" s="158">
        <f t="shared" si="26"/>
        <v>15640</v>
      </c>
      <c r="E631"/>
      <c r="F631" s="9"/>
      <c r="G631"/>
      <c r="H631"/>
      <c r="I631"/>
      <c r="J631"/>
      <c r="K631"/>
    </row>
    <row r="632" spans="1:11" ht="12.75">
      <c r="A632" s="197" t="s">
        <v>673</v>
      </c>
      <c r="B632" s="200" t="s">
        <v>674</v>
      </c>
      <c r="C632" s="258">
        <f>244440-9770</f>
        <v>234670</v>
      </c>
      <c r="D632" s="158">
        <f t="shared" si="26"/>
        <v>234670</v>
      </c>
      <c r="E632"/>
      <c r="F632" s="9"/>
      <c r="G632"/>
      <c r="H632"/>
      <c r="I632"/>
      <c r="J632"/>
      <c r="K632"/>
    </row>
    <row r="633" spans="1:11" ht="12.75">
      <c r="A633" s="197" t="s">
        <v>675</v>
      </c>
      <c r="B633" s="200" t="s">
        <v>727</v>
      </c>
      <c r="C633" s="258">
        <f>29890-1190</f>
        <v>28700</v>
      </c>
      <c r="D633" s="158">
        <f t="shared" si="26"/>
        <v>28700</v>
      </c>
      <c r="E633"/>
      <c r="F633" s="9"/>
      <c r="G633"/>
      <c r="H633"/>
      <c r="I633"/>
      <c r="J633"/>
      <c r="K633"/>
    </row>
    <row r="634" spans="1:11" ht="12.75">
      <c r="A634" s="197" t="s">
        <v>677</v>
      </c>
      <c r="B634" s="200" t="s">
        <v>676</v>
      </c>
      <c r="C634" s="258">
        <f>107320-4290</f>
        <v>103030</v>
      </c>
      <c r="D634" s="158">
        <f t="shared" si="26"/>
        <v>103030</v>
      </c>
      <c r="E634"/>
      <c r="F634" s="9"/>
      <c r="G634"/>
      <c r="H634"/>
      <c r="I634"/>
      <c r="J634"/>
      <c r="K634"/>
    </row>
    <row r="635" spans="1:11" ht="12.75">
      <c r="A635" s="197" t="s">
        <v>679</v>
      </c>
      <c r="B635" s="200" t="s">
        <v>678</v>
      </c>
      <c r="C635" s="258">
        <f>179790-7190</f>
        <v>172600</v>
      </c>
      <c r="D635" s="158">
        <f t="shared" si="26"/>
        <v>172600</v>
      </c>
      <c r="E635"/>
      <c r="F635" s="9"/>
      <c r="G635"/>
      <c r="H635"/>
      <c r="I635"/>
      <c r="J635"/>
      <c r="K635"/>
    </row>
    <row r="636" spans="1:11" ht="12.75">
      <c r="A636" s="197" t="s">
        <v>680</v>
      </c>
      <c r="B636" s="200" t="s">
        <v>728</v>
      </c>
      <c r="C636" s="258">
        <f>14270-570</f>
        <v>13700</v>
      </c>
      <c r="D636" s="158">
        <f t="shared" si="26"/>
        <v>13700</v>
      </c>
      <c r="E636"/>
      <c r="F636" s="9"/>
      <c r="G636"/>
      <c r="H636"/>
      <c r="I636"/>
      <c r="J636"/>
      <c r="K636"/>
    </row>
    <row r="637" spans="1:11" ht="12.75">
      <c r="A637" s="197" t="s">
        <v>681</v>
      </c>
      <c r="B637" s="200" t="s">
        <v>730</v>
      </c>
      <c r="C637" s="258">
        <f>176850-7070</f>
        <v>169780</v>
      </c>
      <c r="D637" s="158">
        <f t="shared" si="26"/>
        <v>169780</v>
      </c>
      <c r="E637"/>
      <c r="F637" s="9"/>
      <c r="G637"/>
      <c r="H637"/>
      <c r="I637"/>
      <c r="J637"/>
      <c r="K637"/>
    </row>
    <row r="638" spans="1:11" ht="12.75">
      <c r="A638" s="197" t="s">
        <v>725</v>
      </c>
      <c r="B638" s="200" t="s">
        <v>731</v>
      </c>
      <c r="C638" s="258">
        <f>108450-4330</f>
        <v>104120</v>
      </c>
      <c r="D638" s="158">
        <f t="shared" si="26"/>
        <v>104120</v>
      </c>
      <c r="E638"/>
      <c r="F638" s="9"/>
      <c r="G638"/>
      <c r="H638"/>
      <c r="I638"/>
      <c r="J638"/>
      <c r="K638"/>
    </row>
    <row r="639" spans="1:11" ht="12.75">
      <c r="A639" s="197" t="s">
        <v>729</v>
      </c>
      <c r="B639" s="200" t="s">
        <v>732</v>
      </c>
      <c r="C639" s="258">
        <f>64140-2560</f>
        <v>61580</v>
      </c>
      <c r="D639" s="158">
        <f t="shared" si="26"/>
        <v>61580</v>
      </c>
      <c r="E639"/>
      <c r="F639" s="9"/>
      <c r="G639"/>
      <c r="H639"/>
      <c r="I639"/>
      <c r="J639"/>
      <c r="K639"/>
    </row>
    <row r="640" spans="1:11" ht="12.75">
      <c r="A640" s="197" t="s">
        <v>733</v>
      </c>
      <c r="B640" s="200" t="s">
        <v>735</v>
      </c>
      <c r="C640" s="258">
        <f>14360-570</f>
        <v>13790</v>
      </c>
      <c r="D640" s="158">
        <f t="shared" si="26"/>
        <v>13790</v>
      </c>
      <c r="E640"/>
      <c r="F640" s="9"/>
      <c r="G640"/>
      <c r="H640"/>
      <c r="I640"/>
      <c r="J640"/>
      <c r="K640"/>
    </row>
    <row r="641" spans="1:11" ht="12.75">
      <c r="A641" s="197" t="s">
        <v>734</v>
      </c>
      <c r="B641" s="200" t="s">
        <v>736</v>
      </c>
      <c r="C641" s="258">
        <v>0</v>
      </c>
      <c r="D641" s="158">
        <f t="shared" si="26"/>
        <v>0</v>
      </c>
      <c r="E641"/>
      <c r="F641" s="9"/>
      <c r="G641"/>
      <c r="H641"/>
      <c r="I641"/>
      <c r="J641"/>
      <c r="K641"/>
    </row>
    <row r="642" spans="1:11" ht="12.75">
      <c r="A642" s="159"/>
      <c r="B642" s="160" t="s">
        <v>638</v>
      </c>
      <c r="C642" s="158">
        <f>SUM(C628:C641)</f>
        <v>1529380</v>
      </c>
      <c r="D642" s="158">
        <f>SUM(D628:D641)</f>
        <v>1529380</v>
      </c>
      <c r="E642"/>
      <c r="F642"/>
      <c r="G642"/>
      <c r="H642"/>
      <c r="I642"/>
      <c r="J642"/>
      <c r="K642"/>
    </row>
    <row r="643" spans="11:12" ht="12.75">
      <c r="K643"/>
      <c r="L643" s="1"/>
    </row>
    <row r="644" spans="1:14" ht="18">
      <c r="A644" s="658" t="str">
        <f>+A601</f>
        <v> </v>
      </c>
      <c r="B644" s="658"/>
      <c r="C644" s="659"/>
      <c r="D644" s="658"/>
      <c r="E644" s="658"/>
      <c r="F644" s="658"/>
      <c r="G644" s="658"/>
      <c r="H644" s="658"/>
      <c r="I644" s="658"/>
      <c r="J644" s="658"/>
      <c r="K644" s="658"/>
      <c r="L644" s="69" t="s">
        <v>363</v>
      </c>
      <c r="M644" s="544"/>
      <c r="N644" s="658"/>
    </row>
    <row r="645" spans="1:14" ht="18">
      <c r="A645" s="779" t="s">
        <v>383</v>
      </c>
      <c r="B645" s="779"/>
      <c r="C645" s="779"/>
      <c r="D645" s="779"/>
      <c r="E645" s="658"/>
      <c r="F645" s="658"/>
      <c r="G645" s="658"/>
      <c r="H645" s="658"/>
      <c r="I645" s="658"/>
      <c r="J645" s="658"/>
      <c r="K645" s="658"/>
      <c r="L645" s="658"/>
      <c r="M645" s="658"/>
      <c r="N645" s="658"/>
    </row>
    <row r="646" spans="1:14" ht="18">
      <c r="A646" s="659" t="str">
        <f>+A603</f>
        <v>Juris.:</v>
      </c>
      <c r="B646" s="660" t="s">
        <v>1021</v>
      </c>
      <c r="C646" s="658"/>
      <c r="D646" s="658"/>
      <c r="E646" s="658"/>
      <c r="F646" s="658"/>
      <c r="G646" s="658"/>
      <c r="H646" s="658"/>
      <c r="I646" s="658"/>
      <c r="J646" s="658"/>
      <c r="K646" s="658"/>
      <c r="L646" s="658"/>
      <c r="M646" s="658"/>
      <c r="N646" s="658"/>
    </row>
    <row r="647" spans="1:14" ht="18">
      <c r="A647" s="659" t="s">
        <v>1012</v>
      </c>
      <c r="B647" s="660"/>
      <c r="C647" s="658"/>
      <c r="D647" s="658"/>
      <c r="E647" s="658"/>
      <c r="F647" s="658"/>
      <c r="G647" s="658"/>
      <c r="H647" s="658"/>
      <c r="I647" s="658"/>
      <c r="J647" s="658"/>
      <c r="K647" s="658"/>
      <c r="L647" s="658"/>
      <c r="M647" s="658"/>
      <c r="N647" s="658"/>
    </row>
    <row r="648" spans="1:14" ht="18">
      <c r="A648" s="658"/>
      <c r="B648" s="658"/>
      <c r="C648" s="658"/>
      <c r="D648" s="658"/>
      <c r="E648" s="658"/>
      <c r="F648" s="658"/>
      <c r="G648" s="658"/>
      <c r="H648" s="658"/>
      <c r="I648" s="658"/>
      <c r="J648" s="658"/>
      <c r="K648" s="658"/>
      <c r="L648" s="658"/>
      <c r="M648" s="658"/>
      <c r="N648" s="658"/>
    </row>
    <row r="649" spans="1:16" ht="18">
      <c r="A649" s="661" t="s">
        <v>621</v>
      </c>
      <c r="B649" s="662" t="s">
        <v>1001</v>
      </c>
      <c r="C649" s="657" t="s">
        <v>1014</v>
      </c>
      <c r="D649" s="657" t="s">
        <v>388</v>
      </c>
      <c r="E649" s="657" t="s">
        <v>389</v>
      </c>
      <c r="F649" s="657" t="s">
        <v>390</v>
      </c>
      <c r="G649" s="657" t="s">
        <v>376</v>
      </c>
      <c r="H649" s="657" t="s">
        <v>392</v>
      </c>
      <c r="I649" s="657" t="s">
        <v>393</v>
      </c>
      <c r="J649" s="657" t="s">
        <v>394</v>
      </c>
      <c r="K649" s="657" t="s">
        <v>395</v>
      </c>
      <c r="L649" s="657" t="s">
        <v>396</v>
      </c>
      <c r="M649" s="657" t="s">
        <v>397</v>
      </c>
      <c r="N649" s="657" t="s">
        <v>91</v>
      </c>
      <c r="O649" s="48"/>
      <c r="P649" s="564"/>
    </row>
    <row r="650" spans="1:16" ht="18">
      <c r="A650" s="661"/>
      <c r="B650" s="663"/>
      <c r="C650" s="661" t="s">
        <v>1022</v>
      </c>
      <c r="D650" s="661" t="s">
        <v>1022</v>
      </c>
      <c r="E650" s="661" t="s">
        <v>1022</v>
      </c>
      <c r="F650" s="661" t="s">
        <v>1022</v>
      </c>
      <c r="G650" s="661" t="s">
        <v>1022</v>
      </c>
      <c r="H650" s="661" t="s">
        <v>1022</v>
      </c>
      <c r="I650" s="661" t="s">
        <v>1022</v>
      </c>
      <c r="J650" s="661" t="s">
        <v>1022</v>
      </c>
      <c r="K650" s="661" t="s">
        <v>1022</v>
      </c>
      <c r="L650" s="661" t="s">
        <v>1022</v>
      </c>
      <c r="M650" s="661" t="s">
        <v>1022</v>
      </c>
      <c r="N650" s="661" t="s">
        <v>638</v>
      </c>
      <c r="P650" s="48"/>
    </row>
    <row r="651" spans="1:14" ht="18">
      <c r="A651" s="664" t="s">
        <v>1000</v>
      </c>
      <c r="B651" s="658"/>
      <c r="C651" s="658"/>
      <c r="D651" s="658"/>
      <c r="E651" s="658"/>
      <c r="F651" s="658"/>
      <c r="G651" s="658"/>
      <c r="H651" s="658"/>
      <c r="I651" s="658"/>
      <c r="J651" s="658"/>
      <c r="K651" s="658"/>
      <c r="L651" s="658"/>
      <c r="M651" s="658"/>
      <c r="N651" s="658"/>
    </row>
    <row r="652" spans="1:16" ht="18">
      <c r="A652" s="665">
        <v>1</v>
      </c>
      <c r="B652" s="666" t="s">
        <v>834</v>
      </c>
      <c r="C652" s="667"/>
      <c r="D652" s="667"/>
      <c r="E652" s="667"/>
      <c r="F652" s="667"/>
      <c r="G652" s="667"/>
      <c r="H652" s="667"/>
      <c r="I652" s="667"/>
      <c r="J652" s="667"/>
      <c r="K652" s="667"/>
      <c r="L652" s="667"/>
      <c r="M652" s="667"/>
      <c r="N652" s="668">
        <f aca="true" t="shared" si="27" ref="N652:N670">SUM(C652:M652)</f>
        <v>0</v>
      </c>
      <c r="P652" s="9"/>
    </row>
    <row r="653" spans="1:16" ht="18">
      <c r="A653" s="665">
        <v>2</v>
      </c>
      <c r="B653" s="666" t="s">
        <v>835</v>
      </c>
      <c r="C653" s="667"/>
      <c r="D653" s="667"/>
      <c r="E653" s="667"/>
      <c r="F653" s="667"/>
      <c r="G653" s="667"/>
      <c r="H653" s="667"/>
      <c r="I653" s="667"/>
      <c r="J653" s="667"/>
      <c r="K653" s="667"/>
      <c r="L653" s="667"/>
      <c r="M653" s="667"/>
      <c r="N653" s="668">
        <f t="shared" si="27"/>
        <v>0</v>
      </c>
      <c r="P653" s="9"/>
    </row>
    <row r="654" spans="1:16" ht="18">
      <c r="A654" s="665">
        <v>3</v>
      </c>
      <c r="B654" s="666" t="s">
        <v>836</v>
      </c>
      <c r="C654" s="667"/>
      <c r="D654" s="667"/>
      <c r="E654" s="667"/>
      <c r="F654" s="667"/>
      <c r="G654" s="667"/>
      <c r="H654" s="667"/>
      <c r="I654" s="667"/>
      <c r="J654" s="667"/>
      <c r="K654" s="667"/>
      <c r="L654" s="667"/>
      <c r="M654" s="667"/>
      <c r="N654" s="668">
        <f t="shared" si="27"/>
        <v>0</v>
      </c>
      <c r="P654" s="9"/>
    </row>
    <row r="655" spans="1:16" ht="18">
      <c r="A655" s="665">
        <v>4</v>
      </c>
      <c r="B655" s="666" t="s">
        <v>837</v>
      </c>
      <c r="C655" s="667">
        <f>150000-24800</f>
        <v>125200</v>
      </c>
      <c r="D655" s="667"/>
      <c r="E655" s="667"/>
      <c r="F655" s="667"/>
      <c r="G655" s="667"/>
      <c r="H655" s="667">
        <v>5000</v>
      </c>
      <c r="I655" s="667"/>
      <c r="J655" s="667"/>
      <c r="K655" s="667"/>
      <c r="L655" s="667"/>
      <c r="M655" s="667"/>
      <c r="N655" s="668">
        <f t="shared" si="27"/>
        <v>130200</v>
      </c>
      <c r="P655" s="9"/>
    </row>
    <row r="656" spans="1:16" ht="18">
      <c r="A656" s="665">
        <v>5</v>
      </c>
      <c r="B656" s="666" t="s">
        <v>838</v>
      </c>
      <c r="C656" s="667">
        <f>25000-6300-8000</f>
        <v>10700</v>
      </c>
      <c r="D656" s="667"/>
      <c r="E656" s="667">
        <f>4000-3000</f>
        <v>1000</v>
      </c>
      <c r="F656" s="667">
        <v>2000</v>
      </c>
      <c r="G656" s="667">
        <v>150</v>
      </c>
      <c r="H656" s="667">
        <v>3000</v>
      </c>
      <c r="I656" s="667"/>
      <c r="J656" s="667"/>
      <c r="K656" s="667">
        <v>5500</v>
      </c>
      <c r="L656" s="667"/>
      <c r="M656" s="667"/>
      <c r="N656" s="668">
        <f t="shared" si="27"/>
        <v>22350</v>
      </c>
      <c r="P656" s="9"/>
    </row>
    <row r="657" spans="1:16" ht="18">
      <c r="A657" s="665">
        <v>6</v>
      </c>
      <c r="B657" s="666" t="s">
        <v>839</v>
      </c>
      <c r="C657" s="667"/>
      <c r="D657" s="667"/>
      <c r="E657" s="667"/>
      <c r="F657" s="667"/>
      <c r="G657" s="667"/>
      <c r="H657" s="667"/>
      <c r="I657" s="667"/>
      <c r="J657" s="667"/>
      <c r="K657" s="667"/>
      <c r="L657" s="667"/>
      <c r="M657" s="667"/>
      <c r="N657" s="668">
        <f t="shared" si="27"/>
        <v>0</v>
      </c>
      <c r="P657" s="9"/>
    </row>
    <row r="658" spans="1:16" ht="18">
      <c r="A658" s="665">
        <v>7</v>
      </c>
      <c r="B658" s="666" t="s">
        <v>840</v>
      </c>
      <c r="C658" s="667"/>
      <c r="D658" s="667"/>
      <c r="E658" s="667"/>
      <c r="F658" s="667"/>
      <c r="G658" s="667"/>
      <c r="H658" s="667"/>
      <c r="I658" s="667"/>
      <c r="J658" s="667"/>
      <c r="K658" s="667"/>
      <c r="L658" s="667"/>
      <c r="M658" s="667"/>
      <c r="N658" s="668">
        <f t="shared" si="27"/>
        <v>0</v>
      </c>
      <c r="P658" s="9"/>
    </row>
    <row r="659" spans="1:16" ht="18">
      <c r="A659" s="665">
        <v>8</v>
      </c>
      <c r="B659" s="666" t="s">
        <v>842</v>
      </c>
      <c r="C659" s="667"/>
      <c r="D659" s="667"/>
      <c r="E659" s="667"/>
      <c r="F659" s="667"/>
      <c r="G659" s="667"/>
      <c r="H659" s="667"/>
      <c r="I659" s="667"/>
      <c r="J659" s="667"/>
      <c r="K659" s="667"/>
      <c r="L659" s="667"/>
      <c r="M659" s="667"/>
      <c r="N659" s="668">
        <f t="shared" si="27"/>
        <v>0</v>
      </c>
      <c r="P659" s="9"/>
    </row>
    <row r="660" spans="1:16" ht="18">
      <c r="A660" s="665">
        <v>9</v>
      </c>
      <c r="B660" s="666" t="s">
        <v>843</v>
      </c>
      <c r="C660" s="667"/>
      <c r="D660" s="667"/>
      <c r="E660" s="667"/>
      <c r="F660" s="667"/>
      <c r="G660" s="667"/>
      <c r="H660" s="667"/>
      <c r="I660" s="667">
        <f>15000-2400</f>
        <v>12600</v>
      </c>
      <c r="J660" s="667"/>
      <c r="K660" s="667"/>
      <c r="L660" s="667"/>
      <c r="M660" s="667"/>
      <c r="N660" s="668">
        <f t="shared" si="27"/>
        <v>12600</v>
      </c>
      <c r="P660" s="9"/>
    </row>
    <row r="661" spans="1:16" ht="18">
      <c r="A661" s="665">
        <v>10</v>
      </c>
      <c r="B661" s="666" t="s">
        <v>844</v>
      </c>
      <c r="C661" s="667"/>
      <c r="D661" s="667"/>
      <c r="E661" s="667"/>
      <c r="F661" s="667"/>
      <c r="G661" s="667"/>
      <c r="H661" s="667"/>
      <c r="I661" s="667">
        <v>5000</v>
      </c>
      <c r="J661" s="667"/>
      <c r="K661" s="667"/>
      <c r="L661" s="667"/>
      <c r="M661" s="667"/>
      <c r="N661" s="668">
        <f t="shared" si="27"/>
        <v>5000</v>
      </c>
      <c r="P661" s="9"/>
    </row>
    <row r="662" spans="1:16" ht="18">
      <c r="A662" s="665">
        <v>11</v>
      </c>
      <c r="B662" s="666" t="s">
        <v>845</v>
      </c>
      <c r="C662" s="667">
        <f>80000-60000</f>
        <v>20000</v>
      </c>
      <c r="D662" s="667"/>
      <c r="E662" s="667"/>
      <c r="F662" s="667"/>
      <c r="G662" s="667"/>
      <c r="H662" s="667"/>
      <c r="I662" s="667"/>
      <c r="J662" s="667"/>
      <c r="K662" s="667"/>
      <c r="L662" s="667">
        <f>50000-20800</f>
        <v>29200</v>
      </c>
      <c r="M662" s="667"/>
      <c r="N662" s="668">
        <f t="shared" si="27"/>
        <v>49200</v>
      </c>
      <c r="P662" s="9"/>
    </row>
    <row r="663" spans="1:16" ht="18">
      <c r="A663" s="665">
        <v>12</v>
      </c>
      <c r="B663" s="666" t="s">
        <v>846</v>
      </c>
      <c r="C663" s="667"/>
      <c r="D663" s="667"/>
      <c r="E663" s="667"/>
      <c r="F663" s="667"/>
      <c r="G663" s="667"/>
      <c r="I663" s="667"/>
      <c r="J663" s="667"/>
      <c r="K663" s="667"/>
      <c r="L663" s="667"/>
      <c r="M663" s="667"/>
      <c r="N663" s="668">
        <f t="shared" si="27"/>
        <v>0</v>
      </c>
      <c r="P663" s="9"/>
    </row>
    <row r="664" spans="1:16" ht="18">
      <c r="A664" s="665">
        <v>13</v>
      </c>
      <c r="B664" s="666" t="s">
        <v>847</v>
      </c>
      <c r="C664" s="667"/>
      <c r="D664" s="667"/>
      <c r="E664" s="667"/>
      <c r="F664" s="667"/>
      <c r="G664" s="667"/>
      <c r="H664" s="667"/>
      <c r="I664" s="667"/>
      <c r="J664" s="667"/>
      <c r="K664" s="667"/>
      <c r="L664" s="667"/>
      <c r="M664" s="667"/>
      <c r="N664" s="668">
        <f t="shared" si="27"/>
        <v>0</v>
      </c>
      <c r="P664" s="9"/>
    </row>
    <row r="665" spans="1:16" ht="18">
      <c r="A665" s="665">
        <v>14</v>
      </c>
      <c r="B665" s="666" t="s">
        <v>848</v>
      </c>
      <c r="C665" s="667"/>
      <c r="D665" s="667"/>
      <c r="E665" s="667"/>
      <c r="F665" s="667"/>
      <c r="G665" s="667"/>
      <c r="H665" s="667"/>
      <c r="I665" s="667"/>
      <c r="J665" s="667"/>
      <c r="K665" s="667"/>
      <c r="L665" s="667"/>
      <c r="M665" s="667"/>
      <c r="N665" s="668">
        <f t="shared" si="27"/>
        <v>0</v>
      </c>
      <c r="P665" s="9"/>
    </row>
    <row r="666" spans="1:16" ht="18">
      <c r="A666" s="665">
        <v>15</v>
      </c>
      <c r="B666" s="666" t="s">
        <v>849</v>
      </c>
      <c r="C666" s="667">
        <f>53000-13070</f>
        <v>39930</v>
      </c>
      <c r="D666" s="667">
        <v>280</v>
      </c>
      <c r="E666" s="667"/>
      <c r="F666" s="667">
        <v>200</v>
      </c>
      <c r="G666" s="667">
        <v>5960</v>
      </c>
      <c r="H666" s="667">
        <v>6000</v>
      </c>
      <c r="I666" s="667"/>
      <c r="J666" s="667"/>
      <c r="K666" s="667">
        <f>3600-1000</f>
        <v>2600</v>
      </c>
      <c r="L666" s="667"/>
      <c r="M666" s="667">
        <v>2660</v>
      </c>
      <c r="N666" s="668">
        <f t="shared" si="27"/>
        <v>57630</v>
      </c>
      <c r="P666" s="9"/>
    </row>
    <row r="667" spans="1:16" ht="18">
      <c r="A667" s="665">
        <v>16</v>
      </c>
      <c r="B667" s="666" t="s">
        <v>850</v>
      </c>
      <c r="C667" s="667"/>
      <c r="D667" s="667"/>
      <c r="E667" s="667"/>
      <c r="F667" s="667"/>
      <c r="G667" s="667"/>
      <c r="H667" s="667"/>
      <c r="I667" s="667"/>
      <c r="J667" s="667"/>
      <c r="K667" s="667"/>
      <c r="L667" s="667"/>
      <c r="M667" s="667"/>
      <c r="N667" s="668">
        <f t="shared" si="27"/>
        <v>0</v>
      </c>
      <c r="P667" s="9"/>
    </row>
    <row r="668" spans="1:16" ht="18">
      <c r="A668" s="665">
        <v>17</v>
      </c>
      <c r="B668" s="666" t="s">
        <v>851</v>
      </c>
      <c r="C668" s="667"/>
      <c r="D668" s="667"/>
      <c r="E668" s="667"/>
      <c r="F668" s="667"/>
      <c r="G668" s="667"/>
      <c r="H668" s="667"/>
      <c r="I668" s="667"/>
      <c r="J668" s="667"/>
      <c r="K668" s="667"/>
      <c r="L668" s="667"/>
      <c r="M668" s="667"/>
      <c r="N668" s="668">
        <f t="shared" si="27"/>
        <v>0</v>
      </c>
      <c r="P668" s="9"/>
    </row>
    <row r="669" spans="1:16" ht="18">
      <c r="A669" s="665">
        <v>18</v>
      </c>
      <c r="B669" s="666" t="s">
        <v>852</v>
      </c>
      <c r="C669" s="667"/>
      <c r="D669" s="667"/>
      <c r="E669" s="667"/>
      <c r="F669" s="667"/>
      <c r="G669" s="667"/>
      <c r="H669" s="667"/>
      <c r="I669" s="667"/>
      <c r="J669" s="667"/>
      <c r="K669" s="667"/>
      <c r="L669" s="667"/>
      <c r="M669" s="667"/>
      <c r="N669" s="668">
        <f t="shared" si="27"/>
        <v>0</v>
      </c>
      <c r="P669" s="9"/>
    </row>
    <row r="670" spans="1:16" ht="18">
      <c r="A670" s="665">
        <v>19</v>
      </c>
      <c r="B670" s="666" t="s">
        <v>853</v>
      </c>
      <c r="C670" s="667"/>
      <c r="D670" s="667"/>
      <c r="E670" s="667"/>
      <c r="F670" s="667"/>
      <c r="G670" s="667"/>
      <c r="H670" s="667"/>
      <c r="I670" s="667"/>
      <c r="J670" s="667"/>
      <c r="K670" s="667"/>
      <c r="L670" s="667"/>
      <c r="M670" s="667"/>
      <c r="N670" s="668">
        <f t="shared" si="27"/>
        <v>0</v>
      </c>
      <c r="P670" s="9"/>
    </row>
    <row r="671" spans="1:16" ht="18">
      <c r="A671" s="669"/>
      <c r="B671" s="662" t="s">
        <v>638</v>
      </c>
      <c r="C671" s="668">
        <f aca="true" t="shared" si="28" ref="C671:N671">SUM(C652:C670)</f>
        <v>195830</v>
      </c>
      <c r="D671" s="668">
        <f t="shared" si="28"/>
        <v>280</v>
      </c>
      <c r="E671" s="668">
        <f t="shared" si="28"/>
        <v>1000</v>
      </c>
      <c r="F671" s="668">
        <f t="shared" si="28"/>
        <v>2200</v>
      </c>
      <c r="G671" s="668">
        <f t="shared" si="28"/>
        <v>6110</v>
      </c>
      <c r="H671" s="668">
        <f>SUM(H652:H670)</f>
        <v>14000</v>
      </c>
      <c r="I671" s="668">
        <f t="shared" si="28"/>
        <v>17600</v>
      </c>
      <c r="J671" s="668">
        <f t="shared" si="28"/>
        <v>0</v>
      </c>
      <c r="K671" s="668">
        <f t="shared" si="28"/>
        <v>8100</v>
      </c>
      <c r="L671" s="668">
        <f t="shared" si="28"/>
        <v>29200</v>
      </c>
      <c r="M671" s="668">
        <f t="shared" si="28"/>
        <v>2660</v>
      </c>
      <c r="N671" s="668">
        <f t="shared" si="28"/>
        <v>276980</v>
      </c>
      <c r="P671" s="9"/>
    </row>
    <row r="672" spans="1:15" ht="18">
      <c r="A672" s="658"/>
      <c r="B672" s="658"/>
      <c r="C672" s="658"/>
      <c r="D672" s="658"/>
      <c r="E672" s="658"/>
      <c r="F672" s="658"/>
      <c r="G672" s="658"/>
      <c r="H672" s="658"/>
      <c r="I672" s="658"/>
      <c r="J672" s="658"/>
      <c r="K672" s="658"/>
      <c r="L672" s="658"/>
      <c r="M672" s="658"/>
      <c r="N672" s="658"/>
      <c r="O672" s="48"/>
    </row>
    <row r="673" spans="1:15" ht="18">
      <c r="A673" s="661" t="s">
        <v>621</v>
      </c>
      <c r="B673" s="662" t="s">
        <v>990</v>
      </c>
      <c r="C673" s="661" t="s">
        <v>1014</v>
      </c>
      <c r="D673" s="661" t="s">
        <v>388</v>
      </c>
      <c r="E673" s="661" t="s">
        <v>389</v>
      </c>
      <c r="F673" s="661" t="s">
        <v>390</v>
      </c>
      <c r="G673" s="661" t="s">
        <v>391</v>
      </c>
      <c r="H673" s="661" t="s">
        <v>392</v>
      </c>
      <c r="I673" s="661" t="s">
        <v>393</v>
      </c>
      <c r="J673" s="661" t="s">
        <v>394</v>
      </c>
      <c r="K673" s="661" t="s">
        <v>395</v>
      </c>
      <c r="L673" s="661" t="s">
        <v>396</v>
      </c>
      <c r="M673" s="661" t="s">
        <v>397</v>
      </c>
      <c r="N673" s="661" t="s">
        <v>91</v>
      </c>
      <c r="O673" s="48"/>
    </row>
    <row r="674" spans="1:14" ht="18">
      <c r="A674" s="661"/>
      <c r="B674" s="663"/>
      <c r="C674" s="661" t="s">
        <v>1022</v>
      </c>
      <c r="D674" s="661" t="s">
        <v>1022</v>
      </c>
      <c r="E674" s="661" t="s">
        <v>1022</v>
      </c>
      <c r="F674" s="661" t="s">
        <v>1022</v>
      </c>
      <c r="G674" s="661" t="s">
        <v>1022</v>
      </c>
      <c r="H674" s="661" t="s">
        <v>1022</v>
      </c>
      <c r="I674" s="661" t="s">
        <v>1022</v>
      </c>
      <c r="J674" s="661" t="s">
        <v>1022</v>
      </c>
      <c r="K674" s="661" t="s">
        <v>1022</v>
      </c>
      <c r="L674" s="661" t="s">
        <v>1022</v>
      </c>
      <c r="M674" s="661" t="s">
        <v>1022</v>
      </c>
      <c r="N674" s="661" t="s">
        <v>638</v>
      </c>
    </row>
    <row r="675" spans="1:14" ht="18">
      <c r="A675" s="664" t="s">
        <v>1002</v>
      </c>
      <c r="B675" s="658"/>
      <c r="C675" s="658"/>
      <c r="D675" s="658"/>
      <c r="E675" s="658"/>
      <c r="F675" s="658"/>
      <c r="G675" s="658"/>
      <c r="H675" s="658"/>
      <c r="I675" s="658"/>
      <c r="J675" s="658"/>
      <c r="K675" s="658"/>
      <c r="L675" s="658"/>
      <c r="M675" s="658"/>
      <c r="N675" s="658"/>
    </row>
    <row r="676" spans="1:16" ht="18">
      <c r="A676" s="665">
        <v>1</v>
      </c>
      <c r="B676" s="666" t="s">
        <v>854</v>
      </c>
      <c r="C676" s="667"/>
      <c r="D676" s="667"/>
      <c r="E676" s="667"/>
      <c r="F676" s="667"/>
      <c r="G676" s="667"/>
      <c r="H676" s="667"/>
      <c r="I676" s="667"/>
      <c r="J676" s="667"/>
      <c r="K676" s="667"/>
      <c r="L676" s="667"/>
      <c r="M676" s="667"/>
      <c r="N676" s="668">
        <f aca="true" t="shared" si="29" ref="N676:N697">SUM(C676:M676)</f>
        <v>0</v>
      </c>
      <c r="P676" s="9"/>
    </row>
    <row r="677" spans="1:16" ht="18">
      <c r="A677" s="665">
        <v>2</v>
      </c>
      <c r="B677" s="666" t="s">
        <v>855</v>
      </c>
      <c r="C677" s="667"/>
      <c r="D677" s="667"/>
      <c r="E677" s="667"/>
      <c r="F677" s="667"/>
      <c r="G677" s="667"/>
      <c r="H677" s="667"/>
      <c r="I677" s="667"/>
      <c r="J677" s="667"/>
      <c r="K677" s="667"/>
      <c r="L677" s="667"/>
      <c r="M677" s="667"/>
      <c r="N677" s="668">
        <f t="shared" si="29"/>
        <v>0</v>
      </c>
      <c r="P677" s="9"/>
    </row>
    <row r="678" spans="1:16" ht="18">
      <c r="A678" s="665">
        <v>3</v>
      </c>
      <c r="B678" s="666" t="s">
        <v>856</v>
      </c>
      <c r="C678" s="667"/>
      <c r="D678" s="667"/>
      <c r="E678" s="667"/>
      <c r="F678" s="667">
        <f>30000-4800</f>
        <v>25200</v>
      </c>
      <c r="G678" s="667"/>
      <c r="H678" s="667"/>
      <c r="I678" s="667"/>
      <c r="J678" s="667"/>
      <c r="K678" s="667"/>
      <c r="L678" s="667"/>
      <c r="M678" s="667"/>
      <c r="N678" s="668">
        <f t="shared" si="29"/>
        <v>25200</v>
      </c>
      <c r="P678" s="9"/>
    </row>
    <row r="679" spans="1:16" ht="18">
      <c r="A679" s="665">
        <v>4</v>
      </c>
      <c r="B679" s="666" t="s">
        <v>857</v>
      </c>
      <c r="C679" s="667"/>
      <c r="D679" s="667"/>
      <c r="E679" s="667"/>
      <c r="F679" s="667"/>
      <c r="G679" s="667"/>
      <c r="H679" s="667"/>
      <c r="I679" s="667"/>
      <c r="J679" s="667"/>
      <c r="K679" s="667"/>
      <c r="L679" s="667"/>
      <c r="M679" s="667"/>
      <c r="N679" s="668">
        <f t="shared" si="29"/>
        <v>0</v>
      </c>
      <c r="P679" s="9"/>
    </row>
    <row r="680" spans="1:16" ht="18">
      <c r="A680" s="665">
        <v>5</v>
      </c>
      <c r="B680" s="666" t="s">
        <v>858</v>
      </c>
      <c r="C680" s="667"/>
      <c r="D680" s="667"/>
      <c r="E680" s="667"/>
      <c r="F680" s="667"/>
      <c r="G680" s="667"/>
      <c r="H680" s="667"/>
      <c r="I680" s="667"/>
      <c r="J680" s="667"/>
      <c r="K680" s="667"/>
      <c r="L680" s="667"/>
      <c r="M680" s="667"/>
      <c r="N680" s="668">
        <f t="shared" si="29"/>
        <v>0</v>
      </c>
      <c r="P680" s="9"/>
    </row>
    <row r="681" spans="1:16" ht="18">
      <c r="A681" s="665">
        <v>6</v>
      </c>
      <c r="B681" s="666" t="s">
        <v>859</v>
      </c>
      <c r="C681" s="667"/>
      <c r="D681" s="667"/>
      <c r="E681" s="667"/>
      <c r="F681" s="667"/>
      <c r="G681" s="667"/>
      <c r="H681" s="667"/>
      <c r="I681" s="667"/>
      <c r="J681" s="667"/>
      <c r="K681" s="667"/>
      <c r="L681" s="667"/>
      <c r="M681" s="667"/>
      <c r="N681" s="668">
        <f t="shared" si="29"/>
        <v>0</v>
      </c>
      <c r="P681" s="9"/>
    </row>
    <row r="682" spans="1:16" ht="18">
      <c r="A682" s="665">
        <v>7</v>
      </c>
      <c r="B682" s="666" t="s">
        <v>860</v>
      </c>
      <c r="C682" s="667">
        <f>14000-2240</f>
        <v>11760</v>
      </c>
      <c r="D682" s="667"/>
      <c r="E682" s="667"/>
      <c r="F682" s="667"/>
      <c r="G682" s="667"/>
      <c r="H682" s="667"/>
      <c r="I682" s="667"/>
      <c r="J682" s="667"/>
      <c r="K682" s="667"/>
      <c r="L682" s="667"/>
      <c r="M682" s="667"/>
      <c r="N682" s="668">
        <f t="shared" si="29"/>
        <v>11760</v>
      </c>
      <c r="P682" s="9"/>
    </row>
    <row r="683" spans="1:16" ht="18">
      <c r="A683" s="665">
        <v>8</v>
      </c>
      <c r="B683" s="666" t="s">
        <v>861</v>
      </c>
      <c r="C683" s="667"/>
      <c r="D683" s="667"/>
      <c r="E683" s="667"/>
      <c r="F683" s="667"/>
      <c r="G683" s="667"/>
      <c r="H683" s="667"/>
      <c r="I683" s="667"/>
      <c r="J683" s="667"/>
      <c r="K683" s="667"/>
      <c r="L683" s="667"/>
      <c r="M683" s="667"/>
      <c r="N683" s="668">
        <f t="shared" si="29"/>
        <v>0</v>
      </c>
      <c r="P683" s="9"/>
    </row>
    <row r="684" spans="1:16" ht="18">
      <c r="A684" s="665">
        <v>9</v>
      </c>
      <c r="B684" s="666" t="s">
        <v>862</v>
      </c>
      <c r="C684" s="667"/>
      <c r="D684" s="667"/>
      <c r="E684" s="667"/>
      <c r="F684" s="667"/>
      <c r="G684" s="667"/>
      <c r="H684" s="667"/>
      <c r="I684" s="667"/>
      <c r="J684" s="667"/>
      <c r="K684" s="667"/>
      <c r="L684" s="667"/>
      <c r="M684" s="667"/>
      <c r="N684" s="668">
        <f t="shared" si="29"/>
        <v>0</v>
      </c>
      <c r="P684" s="9"/>
    </row>
    <row r="685" spans="1:16" ht="18">
      <c r="A685" s="665">
        <v>10</v>
      </c>
      <c r="B685" s="666" t="s">
        <v>863</v>
      </c>
      <c r="C685" s="667"/>
      <c r="D685" s="667"/>
      <c r="E685" s="667"/>
      <c r="F685" s="667"/>
      <c r="G685" s="667"/>
      <c r="H685" s="667"/>
      <c r="I685" s="667"/>
      <c r="J685" s="667"/>
      <c r="K685" s="667"/>
      <c r="L685" s="667"/>
      <c r="M685" s="667"/>
      <c r="N685" s="668">
        <f t="shared" si="29"/>
        <v>0</v>
      </c>
      <c r="P685" s="9"/>
    </row>
    <row r="686" spans="1:16" ht="18">
      <c r="A686" s="665">
        <v>11</v>
      </c>
      <c r="B686" s="666" t="s">
        <v>864</v>
      </c>
      <c r="C686" s="667"/>
      <c r="D686" s="667"/>
      <c r="E686" s="667"/>
      <c r="F686" s="667"/>
      <c r="G686" s="667"/>
      <c r="H686" s="667"/>
      <c r="I686" s="667"/>
      <c r="J686" s="667"/>
      <c r="K686" s="667"/>
      <c r="L686" s="667"/>
      <c r="M686" s="667"/>
      <c r="N686" s="668">
        <f t="shared" si="29"/>
        <v>0</v>
      </c>
      <c r="P686" s="9"/>
    </row>
    <row r="687" spans="1:16" ht="18">
      <c r="A687" s="665">
        <v>12</v>
      </c>
      <c r="B687" s="666" t="s">
        <v>865</v>
      </c>
      <c r="C687" s="667"/>
      <c r="D687" s="667"/>
      <c r="E687" s="667"/>
      <c r="F687" s="667"/>
      <c r="G687" s="667"/>
      <c r="H687" s="667"/>
      <c r="I687" s="667"/>
      <c r="J687" s="667"/>
      <c r="K687" s="667"/>
      <c r="L687" s="667"/>
      <c r="M687" s="667"/>
      <c r="N687" s="668">
        <f t="shared" si="29"/>
        <v>0</v>
      </c>
      <c r="P687" s="9"/>
    </row>
    <row r="688" spans="1:16" ht="18">
      <c r="A688" s="665">
        <v>13</v>
      </c>
      <c r="B688" s="666" t="s">
        <v>866</v>
      </c>
      <c r="C688" s="667"/>
      <c r="D688" s="667"/>
      <c r="E688" s="667"/>
      <c r="F688" s="667"/>
      <c r="G688" s="667"/>
      <c r="H688" s="667"/>
      <c r="I688" s="667"/>
      <c r="J688" s="667">
        <f>30000-4800</f>
        <v>25200</v>
      </c>
      <c r="K688" s="667"/>
      <c r="L688" s="667"/>
      <c r="M688" s="667"/>
      <c r="N688" s="668">
        <f t="shared" si="29"/>
        <v>25200</v>
      </c>
      <c r="P688" s="9"/>
    </row>
    <row r="689" spans="1:16" ht="18">
      <c r="A689" s="665">
        <v>14</v>
      </c>
      <c r="B689" s="666" t="s">
        <v>867</v>
      </c>
      <c r="C689" s="667"/>
      <c r="D689" s="667"/>
      <c r="E689" s="667"/>
      <c r="F689" s="667"/>
      <c r="G689" s="667"/>
      <c r="H689" s="667"/>
      <c r="I689" s="667"/>
      <c r="J689" s="667"/>
      <c r="K689" s="667"/>
      <c r="L689" s="667"/>
      <c r="M689" s="667"/>
      <c r="N689" s="668">
        <f t="shared" si="29"/>
        <v>0</v>
      </c>
      <c r="P689" s="9"/>
    </row>
    <row r="690" spans="1:16" ht="18">
      <c r="A690" s="665">
        <v>15</v>
      </c>
      <c r="B690" s="666" t="s">
        <v>868</v>
      </c>
      <c r="C690" s="667"/>
      <c r="D690" s="667"/>
      <c r="E690" s="667"/>
      <c r="F690" s="667"/>
      <c r="G690" s="667"/>
      <c r="H690" s="667"/>
      <c r="I690" s="667"/>
      <c r="J690" s="667"/>
      <c r="K690" s="667"/>
      <c r="L690" s="667"/>
      <c r="M690" s="667"/>
      <c r="N690" s="668">
        <f t="shared" si="29"/>
        <v>0</v>
      </c>
      <c r="P690" s="9"/>
    </row>
    <row r="691" spans="1:16" ht="18">
      <c r="A691" s="665">
        <v>16</v>
      </c>
      <c r="B691" s="666" t="s">
        <v>869</v>
      </c>
      <c r="C691" s="667"/>
      <c r="D691" s="667"/>
      <c r="E691" s="667"/>
      <c r="F691" s="667"/>
      <c r="G691" s="667"/>
      <c r="H691" s="667"/>
      <c r="I691" s="667"/>
      <c r="J691" s="667"/>
      <c r="K691" s="667"/>
      <c r="L691" s="667"/>
      <c r="M691" s="667"/>
      <c r="N691" s="668">
        <f t="shared" si="29"/>
        <v>0</v>
      </c>
      <c r="P691" s="9"/>
    </row>
    <row r="692" spans="1:16" ht="18">
      <c r="A692" s="665">
        <v>17</v>
      </c>
      <c r="B692" s="666" t="s">
        <v>870</v>
      </c>
      <c r="C692" s="667">
        <f>70000-12800</f>
        <v>57200</v>
      </c>
      <c r="D692" s="667"/>
      <c r="E692" s="667"/>
      <c r="F692" s="667"/>
      <c r="G692" s="667"/>
      <c r="H692" s="667"/>
      <c r="I692" s="667"/>
      <c r="J692" s="667">
        <v>10000</v>
      </c>
      <c r="K692" s="667"/>
      <c r="L692" s="667"/>
      <c r="M692" s="667"/>
      <c r="N692" s="668">
        <f t="shared" si="29"/>
        <v>67200</v>
      </c>
      <c r="P692" s="9"/>
    </row>
    <row r="693" spans="1:16" ht="18">
      <c r="A693" s="665">
        <v>18</v>
      </c>
      <c r="B693" s="666" t="s">
        <v>871</v>
      </c>
      <c r="C693" s="667"/>
      <c r="D693" s="667"/>
      <c r="E693" s="667"/>
      <c r="F693" s="667"/>
      <c r="G693" s="667"/>
      <c r="H693" s="667"/>
      <c r="I693" s="667"/>
      <c r="J693" s="667"/>
      <c r="K693" s="667"/>
      <c r="L693" s="667"/>
      <c r="M693" s="667"/>
      <c r="N693" s="668">
        <f t="shared" si="29"/>
        <v>0</v>
      </c>
      <c r="P693" s="9"/>
    </row>
    <row r="694" spans="1:16" ht="18">
      <c r="A694" s="665">
        <v>19</v>
      </c>
      <c r="B694" s="666" t="s">
        <v>872</v>
      </c>
      <c r="C694" s="667"/>
      <c r="D694" s="667"/>
      <c r="E694" s="667"/>
      <c r="F694" s="667"/>
      <c r="G694" s="667"/>
      <c r="H694" s="667"/>
      <c r="I694" s="667"/>
      <c r="J694" s="667"/>
      <c r="K694" s="667"/>
      <c r="L694" s="667"/>
      <c r="M694" s="667"/>
      <c r="N694" s="668">
        <f t="shared" si="29"/>
        <v>0</v>
      </c>
      <c r="P694" s="9"/>
    </row>
    <row r="695" spans="1:16" ht="18">
      <c r="A695" s="665">
        <v>20</v>
      </c>
      <c r="B695" s="666" t="s">
        <v>873</v>
      </c>
      <c r="C695" s="667"/>
      <c r="D695" s="667"/>
      <c r="E695" s="667"/>
      <c r="F695" s="667"/>
      <c r="G695" s="667"/>
      <c r="H695" s="667"/>
      <c r="I695" s="667"/>
      <c r="J695" s="667"/>
      <c r="K695" s="667"/>
      <c r="L695" s="667"/>
      <c r="M695" s="667"/>
      <c r="N695" s="668">
        <f t="shared" si="29"/>
        <v>0</v>
      </c>
      <c r="P695" s="9"/>
    </row>
    <row r="696" spans="1:16" ht="18">
      <c r="A696" s="665">
        <v>21</v>
      </c>
      <c r="B696" s="666" t="s">
        <v>874</v>
      </c>
      <c r="C696" s="667">
        <f>1686000+165000-320680-156000</f>
        <v>1374320</v>
      </c>
      <c r="D696" s="667">
        <v>250</v>
      </c>
      <c r="E696" s="667"/>
      <c r="F696" s="667"/>
      <c r="G696" s="667"/>
      <c r="H696" s="667">
        <v>3000</v>
      </c>
      <c r="I696" s="667"/>
      <c r="J696" s="667">
        <f>150000-90000</f>
        <v>60000</v>
      </c>
      <c r="K696" s="667"/>
      <c r="L696" s="667"/>
      <c r="M696" s="667"/>
      <c r="N696" s="668">
        <f t="shared" si="29"/>
        <v>1437570</v>
      </c>
      <c r="P696" s="9"/>
    </row>
    <row r="697" spans="1:16" ht="18">
      <c r="A697" s="665" t="s">
        <v>118</v>
      </c>
      <c r="B697" s="666" t="s">
        <v>117</v>
      </c>
      <c r="C697" s="667"/>
      <c r="D697" s="667"/>
      <c r="E697" s="667"/>
      <c r="F697" s="667"/>
      <c r="G697" s="667"/>
      <c r="H697" s="667"/>
      <c r="I697" s="667"/>
      <c r="J697" s="667"/>
      <c r="K697" s="667"/>
      <c r="L697" s="667"/>
      <c r="M697" s="667"/>
      <c r="N697" s="668">
        <f t="shared" si="29"/>
        <v>0</v>
      </c>
      <c r="P697" s="9"/>
    </row>
    <row r="698" spans="1:14" ht="18">
      <c r="A698" s="669"/>
      <c r="B698" s="662" t="s">
        <v>638</v>
      </c>
      <c r="C698" s="668">
        <f aca="true" t="shared" si="30" ref="C698:N698">SUM(C676:C697)</f>
        <v>1443280</v>
      </c>
      <c r="D698" s="668">
        <f t="shared" si="30"/>
        <v>250</v>
      </c>
      <c r="E698" s="668">
        <f t="shared" si="30"/>
        <v>0</v>
      </c>
      <c r="F698" s="668">
        <f t="shared" si="30"/>
        <v>25200</v>
      </c>
      <c r="G698" s="668">
        <f t="shared" si="30"/>
        <v>0</v>
      </c>
      <c r="H698" s="668">
        <f t="shared" si="30"/>
        <v>3000</v>
      </c>
      <c r="I698" s="668">
        <f t="shared" si="30"/>
        <v>0</v>
      </c>
      <c r="J698" s="668">
        <f t="shared" si="30"/>
        <v>95200</v>
      </c>
      <c r="K698" s="668">
        <f t="shared" si="30"/>
        <v>0</v>
      </c>
      <c r="L698" s="668">
        <f t="shared" si="30"/>
        <v>0</v>
      </c>
      <c r="M698" s="668">
        <f t="shared" si="30"/>
        <v>0</v>
      </c>
      <c r="N698" s="668">
        <f t="shared" si="30"/>
        <v>1566930</v>
      </c>
    </row>
    <row r="699" spans="1:15" ht="15">
      <c r="A699" s="544"/>
      <c r="B699" s="544"/>
      <c r="C699" s="544"/>
      <c r="D699" s="544"/>
      <c r="E699" s="544"/>
      <c r="F699" s="544"/>
      <c r="G699" s="544"/>
      <c r="H699" s="544"/>
      <c r="I699" s="544"/>
      <c r="J699" s="544"/>
      <c r="K699" s="544"/>
      <c r="L699" s="544"/>
      <c r="M699" s="544"/>
      <c r="N699" s="544"/>
      <c r="O699" s="48"/>
    </row>
    <row r="700" spans="1:16" ht="18">
      <c r="A700" s="658" t="str">
        <f>+A644</f>
        <v> </v>
      </c>
      <c r="B700" s="658"/>
      <c r="C700" s="658"/>
      <c r="D700" s="658"/>
      <c r="E700" s="658"/>
      <c r="F700" s="658"/>
      <c r="G700" s="658"/>
      <c r="H700" s="658"/>
      <c r="I700" s="658"/>
      <c r="J700" s="658"/>
      <c r="K700" s="658"/>
      <c r="L700" s="69" t="s">
        <v>363</v>
      </c>
      <c r="M700" s="658"/>
      <c r="N700" s="658"/>
      <c r="O700" s="48"/>
      <c r="P700" s="48"/>
    </row>
    <row r="701" spans="1:16" ht="18">
      <c r="A701" s="779" t="s">
        <v>383</v>
      </c>
      <c r="B701" s="779"/>
      <c r="C701" s="779"/>
      <c r="D701" s="779"/>
      <c r="E701" s="658"/>
      <c r="F701" s="658"/>
      <c r="G701" s="658"/>
      <c r="H701" s="658"/>
      <c r="I701" s="658"/>
      <c r="J701" s="658"/>
      <c r="K701" s="658"/>
      <c r="L701" s="658"/>
      <c r="M701" s="658"/>
      <c r="N701" s="658"/>
      <c r="O701" s="48"/>
      <c r="P701" s="48"/>
    </row>
    <row r="702" spans="1:16" ht="18">
      <c r="A702" s="659" t="str">
        <f>+A646</f>
        <v>Juris.:</v>
      </c>
      <c r="B702" s="660" t="s">
        <v>1021</v>
      </c>
      <c r="C702" s="658"/>
      <c r="D702" s="658"/>
      <c r="E702" s="658"/>
      <c r="F702" s="658"/>
      <c r="G702" s="658"/>
      <c r="H702" s="658"/>
      <c r="I702" s="658"/>
      <c r="J702" s="658"/>
      <c r="K702" s="658"/>
      <c r="L702" s="658"/>
      <c r="M702" s="658"/>
      <c r="N702" s="658"/>
      <c r="O702" s="48"/>
      <c r="P702" s="48"/>
    </row>
    <row r="703" spans="1:16" ht="18">
      <c r="A703" s="659" t="s">
        <v>1012</v>
      </c>
      <c r="B703" s="660"/>
      <c r="C703" s="658"/>
      <c r="D703" s="658"/>
      <c r="E703" s="658"/>
      <c r="F703" s="658"/>
      <c r="G703" s="658"/>
      <c r="H703" s="658"/>
      <c r="I703" s="658"/>
      <c r="J703" s="658"/>
      <c r="K703" s="658"/>
      <c r="L703" s="658"/>
      <c r="M703" s="658"/>
      <c r="N703" s="658"/>
      <c r="O703" s="48"/>
      <c r="P703" s="48"/>
    </row>
    <row r="704" spans="1:16" ht="18">
      <c r="A704" s="658"/>
      <c r="B704" s="658"/>
      <c r="C704" s="658"/>
      <c r="D704" s="658"/>
      <c r="E704" s="658"/>
      <c r="F704" s="658"/>
      <c r="G704" s="658"/>
      <c r="H704" s="658"/>
      <c r="I704" s="658"/>
      <c r="J704" s="658"/>
      <c r="K704" s="658"/>
      <c r="L704" s="658"/>
      <c r="M704" s="658"/>
      <c r="N704" s="658"/>
      <c r="O704" s="48"/>
      <c r="P704" s="48"/>
    </row>
    <row r="705" spans="1:15" ht="18">
      <c r="A705" s="661" t="s">
        <v>621</v>
      </c>
      <c r="B705" s="662" t="s">
        <v>406</v>
      </c>
      <c r="C705" s="661" t="s">
        <v>1014</v>
      </c>
      <c r="D705" s="661" t="s">
        <v>388</v>
      </c>
      <c r="E705" s="661" t="s">
        <v>389</v>
      </c>
      <c r="F705" s="661" t="s">
        <v>390</v>
      </c>
      <c r="G705" s="661" t="s">
        <v>391</v>
      </c>
      <c r="H705" s="661" t="s">
        <v>392</v>
      </c>
      <c r="I705" s="661" t="s">
        <v>393</v>
      </c>
      <c r="J705" s="661" t="s">
        <v>394</v>
      </c>
      <c r="K705" s="661" t="s">
        <v>395</v>
      </c>
      <c r="L705" s="661" t="s">
        <v>396</v>
      </c>
      <c r="M705" s="661" t="s">
        <v>397</v>
      </c>
      <c r="N705" s="661" t="s">
        <v>91</v>
      </c>
      <c r="O705" s="48"/>
    </row>
    <row r="706" spans="1:14" ht="18">
      <c r="A706" s="661"/>
      <c r="B706" s="663"/>
      <c r="C706" s="661" t="s">
        <v>1022</v>
      </c>
      <c r="D706" s="661" t="s">
        <v>1022</v>
      </c>
      <c r="E706" s="661" t="s">
        <v>1022</v>
      </c>
      <c r="F706" s="661" t="s">
        <v>1022</v>
      </c>
      <c r="G706" s="661" t="s">
        <v>1022</v>
      </c>
      <c r="H706" s="661" t="s">
        <v>1022</v>
      </c>
      <c r="I706" s="661" t="s">
        <v>1022</v>
      </c>
      <c r="J706" s="661" t="s">
        <v>1022</v>
      </c>
      <c r="K706" s="661" t="s">
        <v>1022</v>
      </c>
      <c r="L706" s="661" t="s">
        <v>1022</v>
      </c>
      <c r="M706" s="661" t="s">
        <v>1022</v>
      </c>
      <c r="N706" s="661" t="s">
        <v>638</v>
      </c>
    </row>
    <row r="707" spans="1:14" ht="18">
      <c r="A707" s="664" t="s">
        <v>1003</v>
      </c>
      <c r="B707" s="658"/>
      <c r="C707" s="658"/>
      <c r="D707" s="658"/>
      <c r="E707" s="658"/>
      <c r="F707" s="658"/>
      <c r="G707" s="658"/>
      <c r="H707" s="658"/>
      <c r="I707" s="658"/>
      <c r="J707" s="658"/>
      <c r="K707" s="658"/>
      <c r="L707" s="658"/>
      <c r="M707" s="658"/>
      <c r="N707" s="658"/>
    </row>
    <row r="708" spans="1:16" ht="18">
      <c r="A708" s="665">
        <v>1</v>
      </c>
      <c r="B708" s="666" t="s">
        <v>875</v>
      </c>
      <c r="C708" s="667"/>
      <c r="D708" s="667"/>
      <c r="E708" s="667"/>
      <c r="F708" s="667"/>
      <c r="G708" s="667">
        <f>377500-60400-58000</f>
        <v>259100</v>
      </c>
      <c r="H708" s="667"/>
      <c r="I708" s="667"/>
      <c r="J708" s="667"/>
      <c r="K708" s="667"/>
      <c r="L708" s="667"/>
      <c r="M708" s="667"/>
      <c r="N708" s="668">
        <f aca="true" t="shared" si="31" ref="N708:N718">SUM(C708:M708)</f>
        <v>259100</v>
      </c>
      <c r="P708" s="9"/>
    </row>
    <row r="709" spans="1:16" ht="18">
      <c r="A709" s="665">
        <v>2</v>
      </c>
      <c r="B709" s="666" t="s">
        <v>876</v>
      </c>
      <c r="C709" s="667"/>
      <c r="D709" s="667"/>
      <c r="E709" s="667"/>
      <c r="F709" s="667"/>
      <c r="G709" s="667"/>
      <c r="H709" s="667"/>
      <c r="I709" s="667"/>
      <c r="J709" s="667"/>
      <c r="K709" s="667"/>
      <c r="L709" s="667">
        <f>7000-1120</f>
        <v>5880</v>
      </c>
      <c r="M709" s="667"/>
      <c r="N709" s="668">
        <f t="shared" si="31"/>
        <v>5880</v>
      </c>
      <c r="P709" s="9"/>
    </row>
    <row r="710" spans="1:16" ht="18">
      <c r="A710" s="665">
        <v>3</v>
      </c>
      <c r="B710" s="666" t="s">
        <v>877</v>
      </c>
      <c r="C710" s="667"/>
      <c r="D710" s="667"/>
      <c r="E710" s="667"/>
      <c r="F710" s="667"/>
      <c r="G710" s="667"/>
      <c r="H710" s="667"/>
      <c r="I710" s="667"/>
      <c r="J710" s="667"/>
      <c r="K710" s="667"/>
      <c r="L710" s="667"/>
      <c r="M710" s="667"/>
      <c r="N710" s="668">
        <f t="shared" si="31"/>
        <v>0</v>
      </c>
      <c r="P710" s="9"/>
    </row>
    <row r="711" spans="1:16" ht="18">
      <c r="A711" s="665">
        <v>4</v>
      </c>
      <c r="B711" s="666" t="s">
        <v>878</v>
      </c>
      <c r="C711" s="667"/>
      <c r="D711" s="667"/>
      <c r="E711" s="667"/>
      <c r="F711" s="667"/>
      <c r="G711" s="667"/>
      <c r="H711" s="667"/>
      <c r="I711" s="667"/>
      <c r="J711" s="667"/>
      <c r="K711" s="667"/>
      <c r="L711" s="667"/>
      <c r="M711" s="667"/>
      <c r="N711" s="668">
        <f t="shared" si="31"/>
        <v>0</v>
      </c>
      <c r="P711" s="9"/>
    </row>
    <row r="712" spans="1:16" ht="18">
      <c r="A712" s="665">
        <v>5</v>
      </c>
      <c r="B712" s="666" t="s">
        <v>879</v>
      </c>
      <c r="C712" s="667"/>
      <c r="D712" s="667"/>
      <c r="E712" s="667"/>
      <c r="F712" s="667"/>
      <c r="G712" s="667"/>
      <c r="H712" s="667"/>
      <c r="I712" s="667"/>
      <c r="J712" s="667"/>
      <c r="K712" s="667"/>
      <c r="L712" s="667"/>
      <c r="M712" s="667"/>
      <c r="N712" s="668">
        <f t="shared" si="31"/>
        <v>0</v>
      </c>
      <c r="P712" s="9"/>
    </row>
    <row r="713" spans="1:16" ht="18">
      <c r="A713" s="665">
        <v>6</v>
      </c>
      <c r="B713" s="666" t="s">
        <v>880</v>
      </c>
      <c r="C713" s="667"/>
      <c r="D713" s="667"/>
      <c r="E713" s="667"/>
      <c r="F713" s="667"/>
      <c r="G713" s="667"/>
      <c r="H713" s="667"/>
      <c r="I713" s="667"/>
      <c r="J713" s="667"/>
      <c r="K713" s="667"/>
      <c r="L713" s="667"/>
      <c r="M713" s="667"/>
      <c r="N713" s="668">
        <f t="shared" si="31"/>
        <v>0</v>
      </c>
      <c r="P713" s="9"/>
    </row>
    <row r="714" spans="1:16" ht="18">
      <c r="A714" s="665">
        <v>7</v>
      </c>
      <c r="B714" s="666" t="s">
        <v>893</v>
      </c>
      <c r="C714" s="667"/>
      <c r="D714" s="667"/>
      <c r="E714" s="667"/>
      <c r="F714" s="667"/>
      <c r="G714" s="667"/>
      <c r="H714" s="667"/>
      <c r="I714" s="667"/>
      <c r="J714" s="667"/>
      <c r="K714" s="667"/>
      <c r="L714" s="667"/>
      <c r="M714" s="667"/>
      <c r="N714" s="668">
        <f t="shared" si="31"/>
        <v>0</v>
      </c>
      <c r="P714" s="9"/>
    </row>
    <row r="715" spans="1:16" ht="18">
      <c r="A715" s="665">
        <v>8</v>
      </c>
      <c r="B715" s="666" t="s">
        <v>894</v>
      </c>
      <c r="C715" s="667"/>
      <c r="D715" s="667">
        <v>2640</v>
      </c>
      <c r="E715" s="667"/>
      <c r="F715" s="667">
        <v>1200</v>
      </c>
      <c r="G715" s="667"/>
      <c r="H715" s="667"/>
      <c r="I715" s="667"/>
      <c r="J715" s="667">
        <f>5000-2270</f>
        <v>2730</v>
      </c>
      <c r="K715" s="667">
        <v>5400</v>
      </c>
      <c r="L715" s="667"/>
      <c r="M715" s="667"/>
      <c r="N715" s="668">
        <f t="shared" si="31"/>
        <v>11970</v>
      </c>
      <c r="P715" s="9"/>
    </row>
    <row r="716" spans="1:16" ht="18">
      <c r="A716" s="665">
        <v>9</v>
      </c>
      <c r="B716" s="666" t="s">
        <v>897</v>
      </c>
      <c r="C716" s="667"/>
      <c r="D716" s="667"/>
      <c r="E716" s="667"/>
      <c r="F716" s="667"/>
      <c r="G716" s="667"/>
      <c r="H716" s="667"/>
      <c r="I716" s="667"/>
      <c r="J716" s="667"/>
      <c r="K716" s="667"/>
      <c r="L716" s="667"/>
      <c r="M716" s="667"/>
      <c r="N716" s="668">
        <f t="shared" si="31"/>
        <v>0</v>
      </c>
      <c r="P716" s="9"/>
    </row>
    <row r="717" spans="1:16" ht="18">
      <c r="A717" s="665">
        <v>10</v>
      </c>
      <c r="B717" s="666" t="s">
        <v>895</v>
      </c>
      <c r="C717" s="667">
        <f>4000-640</f>
        <v>3360</v>
      </c>
      <c r="D717" s="667"/>
      <c r="E717" s="667"/>
      <c r="F717" s="667"/>
      <c r="G717" s="667"/>
      <c r="H717" s="667"/>
      <c r="I717" s="667"/>
      <c r="J717" s="667"/>
      <c r="K717" s="667"/>
      <c r="L717" s="667"/>
      <c r="M717" s="667"/>
      <c r="N717" s="668">
        <f t="shared" si="31"/>
        <v>3360</v>
      </c>
      <c r="P717" s="9"/>
    </row>
    <row r="718" spans="1:16" ht="18">
      <c r="A718" s="665" t="s">
        <v>911</v>
      </c>
      <c r="B718" s="666" t="s">
        <v>738</v>
      </c>
      <c r="C718" s="667"/>
      <c r="D718" s="667"/>
      <c r="E718" s="667"/>
      <c r="F718" s="667"/>
      <c r="G718" s="667">
        <v>500</v>
      </c>
      <c r="H718" s="667"/>
      <c r="I718" s="667"/>
      <c r="J718" s="667"/>
      <c r="K718" s="667"/>
      <c r="L718" s="667"/>
      <c r="M718" s="667">
        <f>28600-4650-10000</f>
        <v>13950</v>
      </c>
      <c r="N718" s="668">
        <f t="shared" si="31"/>
        <v>14450</v>
      </c>
      <c r="P718" s="9"/>
    </row>
    <row r="719" spans="1:14" ht="18">
      <c r="A719" s="669"/>
      <c r="B719" s="662" t="s">
        <v>638</v>
      </c>
      <c r="C719" s="668">
        <f aca="true" t="shared" si="32" ref="C719:N719">SUM(C708:C718)</f>
        <v>3360</v>
      </c>
      <c r="D719" s="668">
        <f t="shared" si="32"/>
        <v>2640</v>
      </c>
      <c r="E719" s="668">
        <f t="shared" si="32"/>
        <v>0</v>
      </c>
      <c r="F719" s="668">
        <f t="shared" si="32"/>
        <v>1200</v>
      </c>
      <c r="G719" s="668">
        <f t="shared" si="32"/>
        <v>259600</v>
      </c>
      <c r="H719" s="668">
        <f t="shared" si="32"/>
        <v>0</v>
      </c>
      <c r="I719" s="668">
        <f t="shared" si="32"/>
        <v>0</v>
      </c>
      <c r="J719" s="668">
        <f t="shared" si="32"/>
        <v>2730</v>
      </c>
      <c r="K719" s="668">
        <f t="shared" si="32"/>
        <v>5400</v>
      </c>
      <c r="L719" s="668">
        <f t="shared" si="32"/>
        <v>5880</v>
      </c>
      <c r="M719" s="668">
        <f t="shared" si="32"/>
        <v>13950</v>
      </c>
      <c r="N719" s="668">
        <f t="shared" si="32"/>
        <v>294760</v>
      </c>
    </row>
    <row r="720" ht="12.75">
      <c r="K720"/>
    </row>
    <row r="721" spans="1:5" ht="23.25">
      <c r="A721" s="682" t="str">
        <f>+ANEXO2!A700</f>
        <v> </v>
      </c>
      <c r="B721" s="682"/>
      <c r="C721" s="683" t="s">
        <v>224</v>
      </c>
      <c r="D721" s="682"/>
      <c r="E721" s="670"/>
    </row>
    <row r="722" spans="1:17" s="85" customFormat="1" ht="23.25">
      <c r="A722" s="780" t="str">
        <f>+A701</f>
        <v>PRESUPUESTO 2008</v>
      </c>
      <c r="B722" s="781"/>
      <c r="C722" s="781"/>
      <c r="D722" s="781"/>
      <c r="E722" s="672"/>
      <c r="F722" s="83"/>
      <c r="G722" s="83"/>
      <c r="H722" s="83"/>
      <c r="I722" s="84"/>
      <c r="J722" s="84"/>
      <c r="K722" s="84"/>
      <c r="O722"/>
      <c r="P722"/>
      <c r="Q722"/>
    </row>
    <row r="723" spans="1:5" ht="23.25">
      <c r="A723" s="683" t="str">
        <f>+ANEXO2!A702</f>
        <v>Juris.:</v>
      </c>
      <c r="B723" s="684" t="s">
        <v>1023</v>
      </c>
      <c r="C723" s="682"/>
      <c r="D723" s="682"/>
      <c r="E723" s="670"/>
    </row>
    <row r="724" spans="1:5" ht="23.25">
      <c r="A724" s="683" t="s">
        <v>1012</v>
      </c>
      <c r="B724" s="684"/>
      <c r="C724" s="682"/>
      <c r="D724" s="682"/>
      <c r="E724" s="670"/>
    </row>
    <row r="725" spans="1:5" ht="23.25">
      <c r="A725" s="682"/>
      <c r="B725" s="682"/>
      <c r="C725" s="682"/>
      <c r="D725" s="682"/>
      <c r="E725" s="670"/>
    </row>
    <row r="726" spans="1:11" ht="23.25">
      <c r="A726" s="685" t="s">
        <v>621</v>
      </c>
      <c r="B726" s="686" t="s">
        <v>996</v>
      </c>
      <c r="C726" s="685" t="s">
        <v>1014</v>
      </c>
      <c r="D726" s="685" t="s">
        <v>638</v>
      </c>
      <c r="E726" s="670"/>
      <c r="H726"/>
      <c r="I726"/>
      <c r="J726"/>
      <c r="K726"/>
    </row>
    <row r="727" spans="1:11" ht="23.25">
      <c r="A727" s="685"/>
      <c r="B727" s="687"/>
      <c r="C727" s="685" t="s">
        <v>386</v>
      </c>
      <c r="D727" s="685"/>
      <c r="E727" s="670"/>
      <c r="F727" s="564"/>
      <c r="H727"/>
      <c r="I727"/>
      <c r="J727"/>
      <c r="K727"/>
    </row>
    <row r="728" spans="1:11" ht="23.25">
      <c r="A728" s="688" t="s">
        <v>995</v>
      </c>
      <c r="B728" s="682"/>
      <c r="C728" s="682"/>
      <c r="D728" s="682"/>
      <c r="E728" s="670"/>
      <c r="H728"/>
      <c r="I728"/>
      <c r="J728"/>
      <c r="K728"/>
    </row>
    <row r="729" spans="1:11" ht="23.25">
      <c r="A729" s="689" t="s">
        <v>666</v>
      </c>
      <c r="B729" s="690" t="s">
        <v>667</v>
      </c>
      <c r="C729" s="692">
        <f>175650-7020</f>
        <v>168630</v>
      </c>
      <c r="D729" s="693">
        <f aca="true" t="shared" si="33" ref="D729:D742">SUM(C729:C729)</f>
        <v>168630</v>
      </c>
      <c r="E729" s="670"/>
      <c r="F729" s="9"/>
      <c r="H729"/>
      <c r="I729"/>
      <c r="J729"/>
      <c r="K729"/>
    </row>
    <row r="730" spans="1:11" ht="23.25">
      <c r="A730" s="689" t="s">
        <v>668</v>
      </c>
      <c r="B730" s="690" t="s">
        <v>669</v>
      </c>
      <c r="C730" s="692">
        <f>28250-1130</f>
        <v>27120</v>
      </c>
      <c r="D730" s="693">
        <f t="shared" si="33"/>
        <v>27120</v>
      </c>
      <c r="E730" s="670"/>
      <c r="F730" s="9"/>
      <c r="H730"/>
      <c r="I730"/>
      <c r="J730"/>
      <c r="K730"/>
    </row>
    <row r="731" spans="1:11" ht="23.25">
      <c r="A731" s="689" t="s">
        <v>670</v>
      </c>
      <c r="B731" s="690" t="s">
        <v>726</v>
      </c>
      <c r="C731" s="692">
        <v>0</v>
      </c>
      <c r="D731" s="693">
        <f t="shared" si="33"/>
        <v>0</v>
      </c>
      <c r="E731" s="670"/>
      <c r="F731" s="9"/>
      <c r="H731"/>
      <c r="I731"/>
      <c r="J731"/>
      <c r="K731"/>
    </row>
    <row r="732" spans="1:11" ht="23.25">
      <c r="A732" s="689" t="s">
        <v>672</v>
      </c>
      <c r="B732" s="690" t="s">
        <v>671</v>
      </c>
      <c r="C732" s="692">
        <f>132220-5280</f>
        <v>126940</v>
      </c>
      <c r="D732" s="693">
        <f t="shared" si="33"/>
        <v>126940</v>
      </c>
      <c r="E732" s="670"/>
      <c r="F732" s="9"/>
      <c r="H732"/>
      <c r="I732"/>
      <c r="J732"/>
      <c r="K732"/>
    </row>
    <row r="733" spans="1:11" ht="23.25">
      <c r="A733" s="689" t="s">
        <v>673</v>
      </c>
      <c r="B733" s="690" t="s">
        <v>674</v>
      </c>
      <c r="C733" s="692">
        <f>56470-2250</f>
        <v>54220</v>
      </c>
      <c r="D733" s="693">
        <f t="shared" si="33"/>
        <v>54220</v>
      </c>
      <c r="E733" s="670"/>
      <c r="F733" s="9"/>
      <c r="H733"/>
      <c r="I733"/>
      <c r="J733"/>
      <c r="K733"/>
    </row>
    <row r="734" spans="1:11" ht="23.25">
      <c r="A734" s="689" t="s">
        <v>675</v>
      </c>
      <c r="B734" s="690" t="s">
        <v>727</v>
      </c>
      <c r="C734" s="692">
        <v>0</v>
      </c>
      <c r="D734" s="693">
        <f t="shared" si="33"/>
        <v>0</v>
      </c>
      <c r="E734" s="670"/>
      <c r="F734" s="9"/>
      <c r="H734"/>
      <c r="I734"/>
      <c r="J734"/>
      <c r="K734"/>
    </row>
    <row r="735" spans="1:11" ht="23.25">
      <c r="A735" s="689" t="s">
        <v>677</v>
      </c>
      <c r="B735" s="690" t="s">
        <v>676</v>
      </c>
      <c r="C735" s="692">
        <f>35100-1400</f>
        <v>33700</v>
      </c>
      <c r="D735" s="693">
        <f t="shared" si="33"/>
        <v>33700</v>
      </c>
      <c r="E735" s="670"/>
      <c r="F735" s="9"/>
      <c r="H735"/>
      <c r="I735"/>
      <c r="J735"/>
      <c r="K735"/>
    </row>
    <row r="736" spans="1:11" ht="23.25">
      <c r="A736" s="689" t="s">
        <v>679</v>
      </c>
      <c r="B736" s="690" t="s">
        <v>678</v>
      </c>
      <c r="C736" s="692">
        <f>18680-740</f>
        <v>17940</v>
      </c>
      <c r="D736" s="693">
        <f t="shared" si="33"/>
        <v>17940</v>
      </c>
      <c r="E736" s="670"/>
      <c r="F736" s="9"/>
      <c r="H736"/>
      <c r="I736"/>
      <c r="J736"/>
      <c r="K736"/>
    </row>
    <row r="737" spans="1:11" ht="23.25">
      <c r="A737" s="689" t="s">
        <v>680</v>
      </c>
      <c r="B737" s="690" t="s">
        <v>728</v>
      </c>
      <c r="C737" s="692">
        <f>38100-1520</f>
        <v>36580</v>
      </c>
      <c r="D737" s="693">
        <f t="shared" si="33"/>
        <v>36580</v>
      </c>
      <c r="E737" s="670"/>
      <c r="F737" s="9"/>
      <c r="H737"/>
      <c r="I737"/>
      <c r="J737"/>
      <c r="K737"/>
    </row>
    <row r="738" spans="1:11" ht="23.25">
      <c r="A738" s="689" t="s">
        <v>681</v>
      </c>
      <c r="B738" s="690" t="s">
        <v>730</v>
      </c>
      <c r="C738" s="692">
        <f>18140-720</f>
        <v>17420</v>
      </c>
      <c r="D738" s="693">
        <f t="shared" si="33"/>
        <v>17420</v>
      </c>
      <c r="E738" s="670"/>
      <c r="F738" s="9"/>
      <c r="H738"/>
      <c r="I738"/>
      <c r="J738"/>
      <c r="K738"/>
    </row>
    <row r="739" spans="1:11" ht="23.25">
      <c r="A739" s="689" t="s">
        <v>725</v>
      </c>
      <c r="B739" s="690" t="s">
        <v>731</v>
      </c>
      <c r="C739" s="692">
        <f>55340-2210</f>
        <v>53130</v>
      </c>
      <c r="D739" s="693">
        <f t="shared" si="33"/>
        <v>53130</v>
      </c>
      <c r="E739" s="670"/>
      <c r="F739" s="9"/>
      <c r="H739"/>
      <c r="I739"/>
      <c r="J739"/>
      <c r="K739"/>
    </row>
    <row r="740" spans="1:11" ht="23.25">
      <c r="A740" s="689" t="s">
        <v>729</v>
      </c>
      <c r="B740" s="690" t="s">
        <v>732</v>
      </c>
      <c r="C740" s="692">
        <f>31580-1260</f>
        <v>30320</v>
      </c>
      <c r="D740" s="693">
        <f t="shared" si="33"/>
        <v>30320</v>
      </c>
      <c r="E740" s="670"/>
      <c r="F740" s="9"/>
      <c r="H740"/>
      <c r="I740"/>
      <c r="J740"/>
      <c r="K740"/>
    </row>
    <row r="741" spans="1:11" ht="23.25">
      <c r="A741" s="689" t="s">
        <v>733</v>
      </c>
      <c r="B741" s="690" t="s">
        <v>735</v>
      </c>
      <c r="C741" s="692">
        <f>5230-200</f>
        <v>5030</v>
      </c>
      <c r="D741" s="693">
        <f t="shared" si="33"/>
        <v>5030</v>
      </c>
      <c r="E741" s="670"/>
      <c r="F741" s="9"/>
      <c r="H741"/>
      <c r="I741"/>
      <c r="J741"/>
      <c r="K741"/>
    </row>
    <row r="742" spans="1:11" ht="23.25">
      <c r="A742" s="689" t="s">
        <v>734</v>
      </c>
      <c r="B742" s="690" t="s">
        <v>736</v>
      </c>
      <c r="C742" s="692">
        <v>0</v>
      </c>
      <c r="D742" s="693">
        <f t="shared" si="33"/>
        <v>0</v>
      </c>
      <c r="E742" s="670"/>
      <c r="F742" s="9"/>
      <c r="H742"/>
      <c r="I742"/>
      <c r="J742"/>
      <c r="K742"/>
    </row>
    <row r="743" spans="1:11" ht="23.25">
      <c r="A743" s="694"/>
      <c r="B743" s="686" t="s">
        <v>638</v>
      </c>
      <c r="C743" s="693">
        <f>SUM(C729:C742)</f>
        <v>571030</v>
      </c>
      <c r="D743" s="693">
        <f>SUM(D729:D742)</f>
        <v>571030</v>
      </c>
      <c r="E743" s="670"/>
      <c r="F743" s="9"/>
      <c r="H743"/>
      <c r="I743"/>
      <c r="J743"/>
      <c r="K743"/>
    </row>
    <row r="744" spans="1:11" ht="20.25">
      <c r="A744" s="670"/>
      <c r="B744" s="670"/>
      <c r="C744" s="671" t="s">
        <v>225</v>
      </c>
      <c r="D744" s="670"/>
      <c r="K744"/>
    </row>
    <row r="745" spans="1:4" ht="20.25">
      <c r="A745" s="670" t="str">
        <f>+ANEXO2!A721</f>
        <v> </v>
      </c>
      <c r="B745" s="670"/>
      <c r="C745" s="670"/>
      <c r="D745" s="670"/>
    </row>
    <row r="746" spans="1:8" ht="20.25">
      <c r="A746" s="782" t="str">
        <f>+ANEXO2!A722</f>
        <v>PRESUPUESTO 2008</v>
      </c>
      <c r="B746" s="782"/>
      <c r="C746" s="782"/>
      <c r="D746" s="782"/>
      <c r="E746" s="14"/>
      <c r="F746" s="14"/>
      <c r="G746" s="14"/>
      <c r="H746" s="14"/>
    </row>
    <row r="747" spans="1:4" ht="20.25">
      <c r="A747" s="671" t="str">
        <f>+ANEXO2!A723</f>
        <v>Juris.:</v>
      </c>
      <c r="B747" s="673" t="s">
        <v>1023</v>
      </c>
      <c r="C747" s="670"/>
      <c r="D747" s="670"/>
    </row>
    <row r="748" spans="1:4" ht="20.25">
      <c r="A748" s="671" t="s">
        <v>1012</v>
      </c>
      <c r="B748" s="673"/>
      <c r="C748" s="670"/>
      <c r="D748" s="670"/>
    </row>
    <row r="749" spans="1:4" ht="20.25">
      <c r="A749" s="670"/>
      <c r="B749" s="670"/>
      <c r="C749" s="670"/>
      <c r="D749" s="670"/>
    </row>
    <row r="750" spans="1:11" ht="20.25">
      <c r="A750" s="674" t="s">
        <v>621</v>
      </c>
      <c r="B750" s="675" t="s">
        <v>1001</v>
      </c>
      <c r="C750" s="674" t="s">
        <v>1014</v>
      </c>
      <c r="D750" s="674" t="s">
        <v>638</v>
      </c>
      <c r="H750"/>
      <c r="I750"/>
      <c r="J750"/>
      <c r="K750"/>
    </row>
    <row r="751" spans="1:11" ht="20.25">
      <c r="A751" s="674"/>
      <c r="B751" s="676"/>
      <c r="C751" s="674" t="s">
        <v>386</v>
      </c>
      <c r="D751" s="674"/>
      <c r="F751" s="564"/>
      <c r="H751"/>
      <c r="I751"/>
      <c r="J751"/>
      <c r="K751"/>
    </row>
    <row r="752" spans="1:11" ht="20.25">
      <c r="A752" s="677" t="s">
        <v>1000</v>
      </c>
      <c r="B752" s="670"/>
      <c r="C752" s="670"/>
      <c r="D752" s="670"/>
      <c r="H752"/>
      <c r="I752"/>
      <c r="J752"/>
      <c r="K752"/>
    </row>
    <row r="753" spans="1:11" ht="20.25">
      <c r="A753" s="695">
        <v>1</v>
      </c>
      <c r="B753" s="678" t="s">
        <v>834</v>
      </c>
      <c r="C753" s="679"/>
      <c r="D753" s="680">
        <f aca="true" t="shared" si="34" ref="D753:D771">SUM(C753:C753)</f>
        <v>0</v>
      </c>
      <c r="F753" s="9"/>
      <c r="H753"/>
      <c r="I753"/>
      <c r="J753"/>
      <c r="K753"/>
    </row>
    <row r="754" spans="1:11" ht="20.25">
      <c r="A754" s="695">
        <v>2</v>
      </c>
      <c r="B754" s="678" t="s">
        <v>835</v>
      </c>
      <c r="C754" s="679"/>
      <c r="D754" s="680">
        <f t="shared" si="34"/>
        <v>0</v>
      </c>
      <c r="F754" s="9"/>
      <c r="H754"/>
      <c r="I754"/>
      <c r="J754"/>
      <c r="K754"/>
    </row>
    <row r="755" spans="1:11" ht="20.25">
      <c r="A755" s="695">
        <v>3</v>
      </c>
      <c r="B755" s="678" t="s">
        <v>836</v>
      </c>
      <c r="C755" s="679"/>
      <c r="D755" s="680">
        <f t="shared" si="34"/>
        <v>0</v>
      </c>
      <c r="F755" s="9"/>
      <c r="H755"/>
      <c r="I755"/>
      <c r="J755"/>
      <c r="K755"/>
    </row>
    <row r="756" spans="1:11" ht="20.25">
      <c r="A756" s="695">
        <v>4</v>
      </c>
      <c r="B756" s="678" t="s">
        <v>837</v>
      </c>
      <c r="C756" s="679"/>
      <c r="D756" s="680">
        <f t="shared" si="34"/>
        <v>0</v>
      </c>
      <c r="F756" s="9"/>
      <c r="H756"/>
      <c r="I756"/>
      <c r="J756"/>
      <c r="K756"/>
    </row>
    <row r="757" spans="1:11" ht="20.25">
      <c r="A757" s="695">
        <v>5</v>
      </c>
      <c r="B757" s="678" t="s">
        <v>838</v>
      </c>
      <c r="C757" s="679"/>
      <c r="D757" s="680">
        <f t="shared" si="34"/>
        <v>0</v>
      </c>
      <c r="F757" s="9"/>
      <c r="H757"/>
      <c r="I757"/>
      <c r="J757"/>
      <c r="K757"/>
    </row>
    <row r="758" spans="1:11" ht="20.25">
      <c r="A758" s="695">
        <v>6</v>
      </c>
      <c r="B758" s="678" t="s">
        <v>839</v>
      </c>
      <c r="C758" s="679"/>
      <c r="D758" s="680">
        <f t="shared" si="34"/>
        <v>0</v>
      </c>
      <c r="F758" s="9"/>
      <c r="H758"/>
      <c r="I758"/>
      <c r="J758"/>
      <c r="K758"/>
    </row>
    <row r="759" spans="1:11" ht="20.25">
      <c r="A759" s="695">
        <v>7</v>
      </c>
      <c r="B759" s="678" t="s">
        <v>840</v>
      </c>
      <c r="C759" s="679"/>
      <c r="D759" s="680">
        <f t="shared" si="34"/>
        <v>0</v>
      </c>
      <c r="F759" s="9"/>
      <c r="H759"/>
      <c r="I759"/>
      <c r="J759"/>
      <c r="K759"/>
    </row>
    <row r="760" spans="1:11" ht="20.25">
      <c r="A760" s="695">
        <v>8</v>
      </c>
      <c r="B760" s="678" t="s">
        <v>842</v>
      </c>
      <c r="C760" s="679"/>
      <c r="D760" s="680">
        <f t="shared" si="34"/>
        <v>0</v>
      </c>
      <c r="F760" s="9"/>
      <c r="H760"/>
      <c r="I760"/>
      <c r="J760"/>
      <c r="K760"/>
    </row>
    <row r="761" spans="1:11" ht="20.25">
      <c r="A761" s="695">
        <v>9</v>
      </c>
      <c r="B761" s="678" t="s">
        <v>843</v>
      </c>
      <c r="C761" s="679">
        <f>1520-240</f>
        <v>1280</v>
      </c>
      <c r="D761" s="680">
        <f t="shared" si="34"/>
        <v>1280</v>
      </c>
      <c r="F761" s="9"/>
      <c r="H761"/>
      <c r="I761"/>
      <c r="J761"/>
      <c r="K761"/>
    </row>
    <row r="762" spans="1:11" ht="20.25">
      <c r="A762" s="695">
        <v>10</v>
      </c>
      <c r="B762" s="678" t="s">
        <v>844</v>
      </c>
      <c r="C762" s="679"/>
      <c r="D762" s="680">
        <f t="shared" si="34"/>
        <v>0</v>
      </c>
      <c r="F762" s="9"/>
      <c r="H762"/>
      <c r="I762"/>
      <c r="J762"/>
      <c r="K762"/>
    </row>
    <row r="763" spans="1:11" ht="20.25">
      <c r="A763" s="695">
        <v>11</v>
      </c>
      <c r="B763" s="678" t="s">
        <v>845</v>
      </c>
      <c r="C763" s="679">
        <f>26000-4160-10000</f>
        <v>11840</v>
      </c>
      <c r="D763" s="680">
        <f t="shared" si="34"/>
        <v>11840</v>
      </c>
      <c r="F763" s="9"/>
      <c r="H763"/>
      <c r="I763"/>
      <c r="J763"/>
      <c r="K763"/>
    </row>
    <row r="764" spans="1:11" ht="20.25">
      <c r="A764" s="695">
        <v>12</v>
      </c>
      <c r="B764" s="678" t="s">
        <v>846</v>
      </c>
      <c r="C764" s="679"/>
      <c r="D764" s="680">
        <f t="shared" si="34"/>
        <v>0</v>
      </c>
      <c r="F764" s="9"/>
      <c r="H764"/>
      <c r="I764"/>
      <c r="J764"/>
      <c r="K764"/>
    </row>
    <row r="765" spans="1:11" ht="20.25">
      <c r="A765" s="695">
        <v>13</v>
      </c>
      <c r="B765" s="678" t="s">
        <v>847</v>
      </c>
      <c r="C765" s="679"/>
      <c r="D765" s="680">
        <f t="shared" si="34"/>
        <v>0</v>
      </c>
      <c r="F765" s="9"/>
      <c r="H765"/>
      <c r="I765"/>
      <c r="J765"/>
      <c r="K765"/>
    </row>
    <row r="766" spans="1:11" ht="20.25">
      <c r="A766" s="695">
        <v>14</v>
      </c>
      <c r="B766" s="678" t="s">
        <v>848</v>
      </c>
      <c r="C766" s="679"/>
      <c r="D766" s="680">
        <f t="shared" si="34"/>
        <v>0</v>
      </c>
      <c r="F766" s="9"/>
      <c r="H766"/>
      <c r="I766"/>
      <c r="J766"/>
      <c r="K766"/>
    </row>
    <row r="767" spans="1:11" ht="20.25">
      <c r="A767" s="695">
        <v>15</v>
      </c>
      <c r="B767" s="678" t="s">
        <v>849</v>
      </c>
      <c r="C767" s="679">
        <f>24000-3840</f>
        <v>20160</v>
      </c>
      <c r="D767" s="680">
        <f t="shared" si="34"/>
        <v>20160</v>
      </c>
      <c r="F767" s="9"/>
      <c r="H767"/>
      <c r="I767"/>
      <c r="J767"/>
      <c r="K767"/>
    </row>
    <row r="768" spans="1:11" ht="20.25">
      <c r="A768" s="695">
        <v>16</v>
      </c>
      <c r="B768" s="678" t="s">
        <v>850</v>
      </c>
      <c r="C768" s="679"/>
      <c r="D768" s="680">
        <f t="shared" si="34"/>
        <v>0</v>
      </c>
      <c r="F768" s="9"/>
      <c r="H768"/>
      <c r="I768"/>
      <c r="J768"/>
      <c r="K768"/>
    </row>
    <row r="769" spans="1:11" ht="20.25">
      <c r="A769" s="695">
        <v>17</v>
      </c>
      <c r="B769" s="678" t="s">
        <v>851</v>
      </c>
      <c r="C769" s="679"/>
      <c r="D769" s="680">
        <f t="shared" si="34"/>
        <v>0</v>
      </c>
      <c r="F769" s="9"/>
      <c r="H769"/>
      <c r="I769"/>
      <c r="J769"/>
      <c r="K769"/>
    </row>
    <row r="770" spans="1:11" ht="20.25">
      <c r="A770" s="695">
        <v>18</v>
      </c>
      <c r="B770" s="678" t="s">
        <v>852</v>
      </c>
      <c r="C770" s="679"/>
      <c r="D770" s="680">
        <f t="shared" si="34"/>
        <v>0</v>
      </c>
      <c r="F770" s="9"/>
      <c r="H770"/>
      <c r="I770"/>
      <c r="J770"/>
      <c r="K770"/>
    </row>
    <row r="771" spans="1:11" ht="20.25">
      <c r="A771" s="695">
        <v>19</v>
      </c>
      <c r="B771" s="678" t="s">
        <v>853</v>
      </c>
      <c r="C771" s="679"/>
      <c r="D771" s="680">
        <f t="shared" si="34"/>
        <v>0</v>
      </c>
      <c r="F771" s="9"/>
      <c r="H771"/>
      <c r="I771"/>
      <c r="J771"/>
      <c r="K771"/>
    </row>
    <row r="772" spans="1:11" ht="20.25">
      <c r="A772" s="681"/>
      <c r="B772" s="675" t="s">
        <v>638</v>
      </c>
      <c r="C772" s="680">
        <f>SUM(C753:C771)</f>
        <v>33280</v>
      </c>
      <c r="D772" s="680">
        <f>SUM(D753:D771)</f>
        <v>33280</v>
      </c>
      <c r="H772"/>
      <c r="I772"/>
      <c r="J772"/>
      <c r="K772"/>
    </row>
    <row r="773" spans="1:11" ht="20.25">
      <c r="A773" s="670"/>
      <c r="B773" s="670"/>
      <c r="C773" s="670"/>
      <c r="D773" s="670"/>
      <c r="G773"/>
      <c r="H773"/>
      <c r="I773"/>
      <c r="J773"/>
      <c r="K773"/>
    </row>
    <row r="774" spans="1:11" ht="20.25">
      <c r="A774" s="674" t="s">
        <v>621</v>
      </c>
      <c r="B774" s="675" t="s">
        <v>990</v>
      </c>
      <c r="C774" s="674" t="s">
        <v>1014</v>
      </c>
      <c r="D774" s="674" t="s">
        <v>638</v>
      </c>
      <c r="H774"/>
      <c r="I774"/>
      <c r="J774"/>
      <c r="K774"/>
    </row>
    <row r="775" spans="1:11" ht="20.25">
      <c r="A775" s="674"/>
      <c r="B775" s="676"/>
      <c r="C775" s="674" t="s">
        <v>386</v>
      </c>
      <c r="D775" s="674"/>
      <c r="H775"/>
      <c r="I775"/>
      <c r="J775"/>
      <c r="K775"/>
    </row>
    <row r="776" spans="1:11" ht="20.25">
      <c r="A776" s="677" t="s">
        <v>1002</v>
      </c>
      <c r="B776" s="670"/>
      <c r="C776" s="670"/>
      <c r="D776" s="670"/>
      <c r="H776"/>
      <c r="I776"/>
      <c r="J776"/>
      <c r="K776"/>
    </row>
    <row r="777" spans="1:11" ht="20.25">
      <c r="A777" s="695">
        <v>1</v>
      </c>
      <c r="B777" s="678" t="s">
        <v>854</v>
      </c>
      <c r="C777" s="679"/>
      <c r="D777" s="680">
        <f aca="true" t="shared" si="35" ref="D777:D798">SUM(C777:C777)</f>
        <v>0</v>
      </c>
      <c r="F777" s="9"/>
      <c r="H777"/>
      <c r="I777"/>
      <c r="J777"/>
      <c r="K777"/>
    </row>
    <row r="778" spans="1:11" ht="20.25">
      <c r="A778" s="695">
        <v>2</v>
      </c>
      <c r="B778" s="678" t="s">
        <v>855</v>
      </c>
      <c r="C778" s="679"/>
      <c r="D778" s="680">
        <f t="shared" si="35"/>
        <v>0</v>
      </c>
      <c r="F778" s="9"/>
      <c r="H778"/>
      <c r="I778"/>
      <c r="J778"/>
      <c r="K778"/>
    </row>
    <row r="779" spans="1:11" ht="20.25">
      <c r="A779" s="695">
        <v>3</v>
      </c>
      <c r="B779" s="678" t="s">
        <v>856</v>
      </c>
      <c r="C779" s="679"/>
      <c r="D779" s="680">
        <f t="shared" si="35"/>
        <v>0</v>
      </c>
      <c r="F779" s="9"/>
      <c r="H779"/>
      <c r="I779"/>
      <c r="J779"/>
      <c r="K779"/>
    </row>
    <row r="780" spans="1:11" ht="20.25">
      <c r="A780" s="695">
        <v>4</v>
      </c>
      <c r="B780" s="678" t="s">
        <v>857</v>
      </c>
      <c r="C780" s="679"/>
      <c r="D780" s="680">
        <f t="shared" si="35"/>
        <v>0</v>
      </c>
      <c r="F780" s="9"/>
      <c r="H780"/>
      <c r="I780"/>
      <c r="J780"/>
      <c r="K780"/>
    </row>
    <row r="781" spans="1:11" ht="20.25">
      <c r="A781" s="695">
        <v>5</v>
      </c>
      <c r="B781" s="678" t="s">
        <v>858</v>
      </c>
      <c r="C781" s="679"/>
      <c r="D781" s="680">
        <f t="shared" si="35"/>
        <v>0</v>
      </c>
      <c r="F781" s="9"/>
      <c r="H781"/>
      <c r="I781"/>
      <c r="J781"/>
      <c r="K781"/>
    </row>
    <row r="782" spans="1:11" ht="20.25">
      <c r="A782" s="695">
        <v>6</v>
      </c>
      <c r="B782" s="678" t="s">
        <v>859</v>
      </c>
      <c r="C782" s="679"/>
      <c r="D782" s="680">
        <f t="shared" si="35"/>
        <v>0</v>
      </c>
      <c r="F782" s="9"/>
      <c r="H782"/>
      <c r="I782"/>
      <c r="J782"/>
      <c r="K782"/>
    </row>
    <row r="783" spans="1:11" ht="20.25">
      <c r="A783" s="695">
        <v>7</v>
      </c>
      <c r="B783" s="678" t="s">
        <v>860</v>
      </c>
      <c r="C783" s="679">
        <f>480000-76800-101000</f>
        <v>302200</v>
      </c>
      <c r="D783" s="680">
        <f t="shared" si="35"/>
        <v>302200</v>
      </c>
      <c r="F783" s="9"/>
      <c r="H783"/>
      <c r="I783"/>
      <c r="J783"/>
      <c r="K783"/>
    </row>
    <row r="784" spans="1:11" ht="20.25">
      <c r="A784" s="695">
        <v>8</v>
      </c>
      <c r="B784" s="678" t="s">
        <v>861</v>
      </c>
      <c r="C784" s="679"/>
      <c r="D784" s="680">
        <f t="shared" si="35"/>
        <v>0</v>
      </c>
      <c r="F784" s="9"/>
      <c r="H784"/>
      <c r="I784"/>
      <c r="J784"/>
      <c r="K784"/>
    </row>
    <row r="785" spans="1:11" ht="20.25">
      <c r="A785" s="695">
        <v>9</v>
      </c>
      <c r="B785" s="678" t="s">
        <v>862</v>
      </c>
      <c r="C785" s="679"/>
      <c r="D785" s="680">
        <f t="shared" si="35"/>
        <v>0</v>
      </c>
      <c r="F785" s="9"/>
      <c r="H785"/>
      <c r="I785"/>
      <c r="J785"/>
      <c r="K785"/>
    </row>
    <row r="786" spans="1:11" ht="20.25">
      <c r="A786" s="695">
        <v>10</v>
      </c>
      <c r="B786" s="678" t="s">
        <v>863</v>
      </c>
      <c r="C786" s="679"/>
      <c r="D786" s="680">
        <f t="shared" si="35"/>
        <v>0</v>
      </c>
      <c r="F786" s="9"/>
      <c r="H786"/>
      <c r="I786"/>
      <c r="J786"/>
      <c r="K786"/>
    </row>
    <row r="787" spans="1:11" ht="20.25">
      <c r="A787" s="695">
        <v>11</v>
      </c>
      <c r="B787" s="678" t="s">
        <v>864</v>
      </c>
      <c r="C787" s="679"/>
      <c r="D787" s="680">
        <f t="shared" si="35"/>
        <v>0</v>
      </c>
      <c r="F787" s="9"/>
      <c r="H787"/>
      <c r="I787"/>
      <c r="J787"/>
      <c r="K787"/>
    </row>
    <row r="788" spans="1:11" ht="20.25">
      <c r="A788" s="695">
        <v>12</v>
      </c>
      <c r="B788" s="678" t="s">
        <v>865</v>
      </c>
      <c r="C788" s="679"/>
      <c r="D788" s="680">
        <f t="shared" si="35"/>
        <v>0</v>
      </c>
      <c r="F788" s="9"/>
      <c r="H788"/>
      <c r="I788"/>
      <c r="J788"/>
      <c r="K788"/>
    </row>
    <row r="789" spans="1:11" ht="20.25">
      <c r="A789" s="695">
        <v>13</v>
      </c>
      <c r="B789" s="678" t="s">
        <v>866</v>
      </c>
      <c r="C789" s="679"/>
      <c r="D789" s="680">
        <f t="shared" si="35"/>
        <v>0</v>
      </c>
      <c r="F789" s="9"/>
      <c r="H789"/>
      <c r="I789"/>
      <c r="J789"/>
      <c r="K789"/>
    </row>
    <row r="790" spans="1:11" ht="20.25">
      <c r="A790" s="695">
        <v>14</v>
      </c>
      <c r="B790" s="678" t="s">
        <v>867</v>
      </c>
      <c r="C790" s="679"/>
      <c r="D790" s="680">
        <f t="shared" si="35"/>
        <v>0</v>
      </c>
      <c r="F790" s="9"/>
      <c r="H790"/>
      <c r="I790"/>
      <c r="J790"/>
      <c r="K790"/>
    </row>
    <row r="791" spans="1:11" ht="20.25">
      <c r="A791" s="695">
        <v>15</v>
      </c>
      <c r="B791" s="678" t="s">
        <v>868</v>
      </c>
      <c r="C791" s="679">
        <f>600-90</f>
        <v>510</v>
      </c>
      <c r="D791" s="680">
        <f t="shared" si="35"/>
        <v>510</v>
      </c>
      <c r="F791" s="9"/>
      <c r="H791"/>
      <c r="I791"/>
      <c r="J791"/>
      <c r="K791"/>
    </row>
    <row r="792" spans="1:11" ht="20.25">
      <c r="A792" s="695">
        <v>16</v>
      </c>
      <c r="B792" s="678" t="s">
        <v>869</v>
      </c>
      <c r="C792" s="679"/>
      <c r="D792" s="680">
        <f t="shared" si="35"/>
        <v>0</v>
      </c>
      <c r="F792" s="9"/>
      <c r="H792"/>
      <c r="I792"/>
      <c r="J792"/>
      <c r="K792"/>
    </row>
    <row r="793" spans="1:11" ht="20.25">
      <c r="A793" s="695">
        <v>17</v>
      </c>
      <c r="B793" s="678" t="s">
        <v>870</v>
      </c>
      <c r="C793" s="679"/>
      <c r="D793" s="680">
        <f t="shared" si="35"/>
        <v>0</v>
      </c>
      <c r="F793" s="9"/>
      <c r="H793"/>
      <c r="I793"/>
      <c r="J793"/>
      <c r="K793"/>
    </row>
    <row r="794" spans="1:11" ht="20.25">
      <c r="A794" s="695">
        <v>18</v>
      </c>
      <c r="B794" s="678" t="s">
        <v>871</v>
      </c>
      <c r="C794" s="679"/>
      <c r="D794" s="680">
        <f t="shared" si="35"/>
        <v>0</v>
      </c>
      <c r="F794" s="9"/>
      <c r="H794"/>
      <c r="I794"/>
      <c r="J794"/>
      <c r="K794"/>
    </row>
    <row r="795" spans="1:11" ht="20.25">
      <c r="A795" s="695">
        <v>19</v>
      </c>
      <c r="B795" s="678" t="s">
        <v>872</v>
      </c>
      <c r="C795" s="679"/>
      <c r="D795" s="680">
        <f t="shared" si="35"/>
        <v>0</v>
      </c>
      <c r="F795" s="9"/>
      <c r="H795"/>
      <c r="I795"/>
      <c r="J795"/>
      <c r="K795"/>
    </row>
    <row r="796" spans="1:11" ht="20.25">
      <c r="A796" s="695">
        <v>20</v>
      </c>
      <c r="B796" s="678" t="s">
        <v>873</v>
      </c>
      <c r="C796" s="679"/>
      <c r="D796" s="680">
        <f t="shared" si="35"/>
        <v>0</v>
      </c>
      <c r="F796" s="9"/>
      <c r="H796"/>
      <c r="I796"/>
      <c r="J796"/>
      <c r="K796"/>
    </row>
    <row r="797" spans="1:11" ht="20.25">
      <c r="A797" s="695">
        <v>21</v>
      </c>
      <c r="B797" s="678" t="s">
        <v>874</v>
      </c>
      <c r="C797" s="679">
        <f>85100-13610</f>
        <v>71490</v>
      </c>
      <c r="D797" s="680">
        <f t="shared" si="35"/>
        <v>71490</v>
      </c>
      <c r="F797" s="9"/>
      <c r="H797"/>
      <c r="I797"/>
      <c r="J797"/>
      <c r="K797"/>
    </row>
    <row r="798" spans="1:11" ht="20.25">
      <c r="A798" s="695" t="s">
        <v>106</v>
      </c>
      <c r="B798" s="678" t="s">
        <v>117</v>
      </c>
      <c r="C798" s="679">
        <f>324000-51840</f>
        <v>272160</v>
      </c>
      <c r="D798" s="680">
        <f t="shared" si="35"/>
        <v>272160</v>
      </c>
      <c r="F798" s="9"/>
      <c r="H798"/>
      <c r="I798"/>
      <c r="J798"/>
      <c r="K798"/>
    </row>
    <row r="799" spans="1:11" ht="20.25">
      <c r="A799" s="681"/>
      <c r="B799" s="675" t="s">
        <v>638</v>
      </c>
      <c r="C799" s="680">
        <f>SUM(C777:C798)</f>
        <v>646360</v>
      </c>
      <c r="D799" s="680">
        <f>SUM(D777:D798)</f>
        <v>646360</v>
      </c>
      <c r="H799"/>
      <c r="I799"/>
      <c r="J799"/>
      <c r="K799"/>
    </row>
    <row r="800" spans="1:11" ht="20.25">
      <c r="A800" s="670"/>
      <c r="B800" s="670"/>
      <c r="C800" s="670"/>
      <c r="D800" s="670"/>
      <c r="K800"/>
    </row>
    <row r="801" spans="1:11" ht="20.25">
      <c r="A801" s="674" t="s">
        <v>621</v>
      </c>
      <c r="B801" s="675" t="s">
        <v>1016</v>
      </c>
      <c r="C801" s="674" t="s">
        <v>1014</v>
      </c>
      <c r="D801" s="674" t="s">
        <v>638</v>
      </c>
      <c r="H801"/>
      <c r="I801"/>
      <c r="J801"/>
      <c r="K801"/>
    </row>
    <row r="802" spans="1:11" ht="20.25">
      <c r="A802" s="674"/>
      <c r="B802" s="676"/>
      <c r="C802" s="674" t="s">
        <v>386</v>
      </c>
      <c r="D802" s="674"/>
      <c r="H802"/>
      <c r="I802"/>
      <c r="J802"/>
      <c r="K802"/>
    </row>
    <row r="803" spans="1:11" ht="20.25">
      <c r="A803" s="677" t="s">
        <v>1003</v>
      </c>
      <c r="B803" s="670"/>
      <c r="C803" s="670"/>
      <c r="D803" s="670"/>
      <c r="H803"/>
      <c r="I803"/>
      <c r="J803"/>
      <c r="K803"/>
    </row>
    <row r="804" spans="1:11" ht="20.25">
      <c r="A804" s="695">
        <v>1</v>
      </c>
      <c r="B804" s="678" t="s">
        <v>875</v>
      </c>
      <c r="C804" s="679"/>
      <c r="D804" s="680">
        <f aca="true" t="shared" si="36" ref="D804:D814">SUM(C804:C804)</f>
        <v>0</v>
      </c>
      <c r="H804"/>
      <c r="I804"/>
      <c r="J804"/>
      <c r="K804"/>
    </row>
    <row r="805" spans="1:11" ht="20.25">
      <c r="A805" s="695">
        <v>2</v>
      </c>
      <c r="B805" s="678" t="s">
        <v>876</v>
      </c>
      <c r="C805" s="679"/>
      <c r="D805" s="680">
        <f t="shared" si="36"/>
        <v>0</v>
      </c>
      <c r="H805"/>
      <c r="I805"/>
      <c r="J805"/>
      <c r="K805"/>
    </row>
    <row r="806" spans="1:11" ht="20.25">
      <c r="A806" s="695">
        <v>3</v>
      </c>
      <c r="B806" s="678" t="s">
        <v>877</v>
      </c>
      <c r="C806" s="679">
        <f>80000-12800-18000</f>
        <v>49200</v>
      </c>
      <c r="D806" s="680">
        <f t="shared" si="36"/>
        <v>49200</v>
      </c>
      <c r="H806"/>
      <c r="I806"/>
      <c r="J806"/>
      <c r="K806"/>
    </row>
    <row r="807" spans="1:11" ht="20.25">
      <c r="A807" s="695">
        <v>4</v>
      </c>
      <c r="B807" s="678" t="s">
        <v>878</v>
      </c>
      <c r="C807" s="679">
        <f>32100-5130</f>
        <v>26970</v>
      </c>
      <c r="D807" s="680">
        <f t="shared" si="36"/>
        <v>26970</v>
      </c>
      <c r="H807"/>
      <c r="I807"/>
      <c r="J807"/>
      <c r="K807"/>
    </row>
    <row r="808" spans="1:11" ht="20.25">
      <c r="A808" s="695">
        <v>5</v>
      </c>
      <c r="B808" s="678" t="s">
        <v>879</v>
      </c>
      <c r="C808" s="679"/>
      <c r="D808" s="680">
        <f t="shared" si="36"/>
        <v>0</v>
      </c>
      <c r="H808"/>
      <c r="I808"/>
      <c r="J808"/>
      <c r="K808"/>
    </row>
    <row r="809" spans="1:11" ht="20.25">
      <c r="A809" s="695">
        <v>6</v>
      </c>
      <c r="B809" s="678" t="s">
        <v>880</v>
      </c>
      <c r="C809" s="679"/>
      <c r="D809" s="680">
        <f t="shared" si="36"/>
        <v>0</v>
      </c>
      <c r="H809"/>
      <c r="I809"/>
      <c r="J809"/>
      <c r="K809"/>
    </row>
    <row r="810" spans="1:11" ht="20.25">
      <c r="A810" s="695">
        <v>7</v>
      </c>
      <c r="B810" s="678" t="s">
        <v>893</v>
      </c>
      <c r="C810" s="679"/>
      <c r="D810" s="680">
        <f t="shared" si="36"/>
        <v>0</v>
      </c>
      <c r="H810"/>
      <c r="I810"/>
      <c r="J810"/>
      <c r="K810"/>
    </row>
    <row r="811" spans="1:11" ht="20.25">
      <c r="A811" s="695">
        <v>8</v>
      </c>
      <c r="B811" s="678" t="s">
        <v>894</v>
      </c>
      <c r="C811" s="679">
        <f>2440-390</f>
        <v>2050</v>
      </c>
      <c r="D811" s="680">
        <f t="shared" si="36"/>
        <v>2050</v>
      </c>
      <c r="H811"/>
      <c r="I811"/>
      <c r="J811"/>
      <c r="K811"/>
    </row>
    <row r="812" spans="1:11" ht="20.25">
      <c r="A812" s="695">
        <v>9</v>
      </c>
      <c r="B812" s="678" t="s">
        <v>897</v>
      </c>
      <c r="C812" s="679"/>
      <c r="D812" s="680">
        <f t="shared" si="36"/>
        <v>0</v>
      </c>
      <c r="H812"/>
      <c r="I812"/>
      <c r="J812"/>
      <c r="K812"/>
    </row>
    <row r="813" spans="1:11" ht="20.25">
      <c r="A813" s="695">
        <v>10</v>
      </c>
      <c r="B813" s="678" t="s">
        <v>895</v>
      </c>
      <c r="C813" s="679"/>
      <c r="D813" s="680">
        <f t="shared" si="36"/>
        <v>0</v>
      </c>
      <c r="H813"/>
      <c r="I813"/>
      <c r="J813"/>
      <c r="K813"/>
    </row>
    <row r="814" spans="1:11" ht="20.25">
      <c r="A814" s="695" t="s">
        <v>911</v>
      </c>
      <c r="B814" s="678" t="s">
        <v>738</v>
      </c>
      <c r="C814" s="679"/>
      <c r="D814" s="680">
        <f t="shared" si="36"/>
        <v>0</v>
      </c>
      <c r="H814"/>
      <c r="I814"/>
      <c r="J814"/>
      <c r="K814"/>
    </row>
    <row r="815" spans="1:11" ht="20.25">
      <c r="A815" s="681"/>
      <c r="B815" s="675" t="s">
        <v>638</v>
      </c>
      <c r="C815" s="680">
        <f>SUM(C804:C814)</f>
        <v>78220</v>
      </c>
      <c r="D815" s="680">
        <f>SUM(D804:D814)</f>
        <v>78220</v>
      </c>
      <c r="H815"/>
      <c r="I815"/>
      <c r="J815"/>
      <c r="K815"/>
    </row>
    <row r="816" ht="12.75">
      <c r="K816"/>
    </row>
    <row r="817" ht="12.75">
      <c r="A817" s="48" t="str">
        <f>+A700</f>
        <v> </v>
      </c>
    </row>
    <row r="818" spans="1:10" ht="12.75">
      <c r="A818" s="764" t="s">
        <v>383</v>
      </c>
      <c r="B818" s="764"/>
      <c r="C818" s="764"/>
      <c r="D818" s="764"/>
      <c r="E818" s="14"/>
      <c r="F818" s="14"/>
      <c r="G818" s="14"/>
      <c r="H818" s="14"/>
      <c r="I818" s="14"/>
      <c r="J818" s="14"/>
    </row>
    <row r="819" spans="1:2" ht="12.75">
      <c r="A819" s="33" t="str">
        <f>+A702</f>
        <v>Juris.:</v>
      </c>
      <c r="B819" s="14" t="s">
        <v>73</v>
      </c>
    </row>
    <row r="820" spans="1:2" ht="12.75">
      <c r="A820" s="33" t="s">
        <v>1012</v>
      </c>
      <c r="B820" s="14"/>
    </row>
    <row r="821" spans="9:11" ht="12.75">
      <c r="I821"/>
      <c r="J821"/>
      <c r="K821"/>
    </row>
    <row r="822" spans="1:11" ht="12.75">
      <c r="A822" s="157" t="s">
        <v>621</v>
      </c>
      <c r="B822" s="160" t="s">
        <v>996</v>
      </c>
      <c r="C822" s="157" t="s">
        <v>1014</v>
      </c>
      <c r="D822" s="157" t="s">
        <v>934</v>
      </c>
      <c r="F822"/>
      <c r="G822"/>
      <c r="H822"/>
      <c r="I822"/>
      <c r="J822"/>
      <c r="K822"/>
    </row>
    <row r="823" spans="1:11" ht="12.75">
      <c r="A823" s="157"/>
      <c r="B823" s="276"/>
      <c r="C823" s="157" t="s">
        <v>74</v>
      </c>
      <c r="D823" s="157" t="s">
        <v>638</v>
      </c>
      <c r="F823" s="564"/>
      <c r="G823"/>
      <c r="H823"/>
      <c r="I823"/>
      <c r="J823"/>
      <c r="K823"/>
    </row>
    <row r="824" spans="1:11" ht="12.75">
      <c r="A824" s="277" t="s">
        <v>995</v>
      </c>
      <c r="G824"/>
      <c r="H824"/>
      <c r="I824"/>
      <c r="J824"/>
      <c r="K824"/>
    </row>
    <row r="825" spans="1:11" ht="12.75">
      <c r="A825" s="197" t="s">
        <v>666</v>
      </c>
      <c r="B825" s="200" t="s">
        <v>667</v>
      </c>
      <c r="C825" s="258">
        <f>586870-5.347</f>
        <v>586864.653</v>
      </c>
      <c r="D825" s="158">
        <f aca="true" t="shared" si="37" ref="D825:D838">SUM(C825:C825)</f>
        <v>586864.653</v>
      </c>
      <c r="F825" s="9"/>
      <c r="G825"/>
      <c r="H825"/>
      <c r="I825"/>
      <c r="J825"/>
      <c r="K825"/>
    </row>
    <row r="826" spans="1:11" ht="12.75">
      <c r="A826" s="197" t="s">
        <v>668</v>
      </c>
      <c r="B826" s="200" t="s">
        <v>669</v>
      </c>
      <c r="C826" s="258">
        <f>133000-8320</f>
        <v>124680</v>
      </c>
      <c r="D826" s="158">
        <f t="shared" si="37"/>
        <v>124680</v>
      </c>
      <c r="F826" s="9"/>
      <c r="G826"/>
      <c r="H826"/>
      <c r="I826"/>
      <c r="J826"/>
      <c r="K826"/>
    </row>
    <row r="827" spans="1:11" ht="12.75">
      <c r="A827" s="197" t="s">
        <v>670</v>
      </c>
      <c r="B827" s="200" t="s">
        <v>726</v>
      </c>
      <c r="C827" s="258">
        <v>0</v>
      </c>
      <c r="D827" s="158">
        <f t="shared" si="37"/>
        <v>0</v>
      </c>
      <c r="F827" s="9"/>
      <c r="G827"/>
      <c r="H827"/>
      <c r="I827"/>
      <c r="J827"/>
      <c r="K827"/>
    </row>
    <row r="828" spans="1:11" ht="12.75">
      <c r="A828" s="197" t="s">
        <v>672</v>
      </c>
      <c r="B828" s="200" t="s">
        <v>671</v>
      </c>
      <c r="C828" s="258">
        <f>70730-2820</f>
        <v>67910</v>
      </c>
      <c r="D828" s="158">
        <f t="shared" si="37"/>
        <v>67910</v>
      </c>
      <c r="F828" s="9"/>
      <c r="G828"/>
      <c r="H828"/>
      <c r="I828"/>
      <c r="J828"/>
      <c r="K828"/>
    </row>
    <row r="829" spans="1:11" ht="12.75">
      <c r="A829" s="197" t="s">
        <v>673</v>
      </c>
      <c r="B829" s="200" t="s">
        <v>674</v>
      </c>
      <c r="C829" s="258">
        <f>402430-46090</f>
        <v>356340</v>
      </c>
      <c r="D829" s="158">
        <f t="shared" si="37"/>
        <v>356340</v>
      </c>
      <c r="F829" s="9"/>
      <c r="G829"/>
      <c r="H829"/>
      <c r="I829"/>
      <c r="J829"/>
      <c r="K829"/>
    </row>
    <row r="830" spans="1:11" ht="12.75">
      <c r="A830" s="197" t="s">
        <v>675</v>
      </c>
      <c r="B830" s="200" t="s">
        <v>727</v>
      </c>
      <c r="C830" s="258">
        <f>4480-170</f>
        <v>4310</v>
      </c>
      <c r="D830" s="158">
        <f t="shared" si="37"/>
        <v>4310</v>
      </c>
      <c r="F830" s="9"/>
      <c r="G830"/>
      <c r="H830"/>
      <c r="I830"/>
      <c r="J830"/>
      <c r="K830"/>
    </row>
    <row r="831" spans="1:11" ht="12.75">
      <c r="A831" s="197" t="s">
        <v>677</v>
      </c>
      <c r="B831" s="200" t="s">
        <v>676</v>
      </c>
      <c r="C831" s="258">
        <f>115620-4620</f>
        <v>111000</v>
      </c>
      <c r="D831" s="158">
        <f t="shared" si="37"/>
        <v>111000</v>
      </c>
      <c r="F831" s="9"/>
      <c r="G831"/>
      <c r="H831"/>
      <c r="I831"/>
      <c r="J831"/>
      <c r="K831"/>
    </row>
    <row r="832" spans="1:11" ht="12.75">
      <c r="A832" s="197" t="s">
        <v>679</v>
      </c>
      <c r="B832" s="200" t="s">
        <v>678</v>
      </c>
      <c r="C832" s="258">
        <f>57470-2290</f>
        <v>55180</v>
      </c>
      <c r="D832" s="158">
        <f t="shared" si="37"/>
        <v>55180</v>
      </c>
      <c r="F832" s="9"/>
      <c r="G832"/>
      <c r="H832"/>
      <c r="I832"/>
      <c r="J832"/>
      <c r="K832"/>
    </row>
    <row r="833" spans="1:11" ht="12.75">
      <c r="A833" s="197" t="s">
        <v>680</v>
      </c>
      <c r="B833" s="200" t="s">
        <v>728</v>
      </c>
      <c r="C833" s="258">
        <f>69580-2780</f>
        <v>66800</v>
      </c>
      <c r="D833" s="158">
        <f t="shared" si="37"/>
        <v>66800</v>
      </c>
      <c r="F833" s="9"/>
      <c r="G833"/>
      <c r="H833"/>
      <c r="I833"/>
      <c r="J833"/>
      <c r="K833"/>
    </row>
    <row r="834" spans="1:11" ht="12.75">
      <c r="A834" s="197" t="s">
        <v>681</v>
      </c>
      <c r="B834" s="200" t="s">
        <v>730</v>
      </c>
      <c r="C834" s="258">
        <f>129410-15170</f>
        <v>114240</v>
      </c>
      <c r="D834" s="158">
        <f t="shared" si="37"/>
        <v>114240</v>
      </c>
      <c r="F834" s="9"/>
      <c r="G834"/>
      <c r="H834"/>
      <c r="I834"/>
      <c r="J834"/>
      <c r="K834"/>
    </row>
    <row r="835" spans="1:11" ht="12.75">
      <c r="A835" s="197" t="s">
        <v>725</v>
      </c>
      <c r="B835" s="200" t="s">
        <v>731</v>
      </c>
      <c r="C835" s="258">
        <f>135100-15400</f>
        <v>119700</v>
      </c>
      <c r="D835" s="158">
        <f t="shared" si="37"/>
        <v>119700</v>
      </c>
      <c r="F835" s="9"/>
      <c r="G835"/>
      <c r="H835"/>
      <c r="I835"/>
      <c r="J835"/>
      <c r="K835"/>
    </row>
    <row r="836" spans="1:11" ht="12.75">
      <c r="A836" s="197" t="s">
        <v>729</v>
      </c>
      <c r="B836" s="200" t="s">
        <v>732</v>
      </c>
      <c r="C836" s="258">
        <f>68350-2730</f>
        <v>65620</v>
      </c>
      <c r="D836" s="158">
        <f t="shared" si="37"/>
        <v>65620</v>
      </c>
      <c r="F836" s="9"/>
      <c r="G836"/>
      <c r="H836"/>
      <c r="I836"/>
      <c r="J836"/>
      <c r="K836"/>
    </row>
    <row r="837" spans="1:11" ht="12.75">
      <c r="A837" s="197" t="s">
        <v>733</v>
      </c>
      <c r="B837" s="200" t="s">
        <v>735</v>
      </c>
      <c r="C837" s="258">
        <f>21460-850</f>
        <v>20610</v>
      </c>
      <c r="D837" s="158">
        <f t="shared" si="37"/>
        <v>20610</v>
      </c>
      <c r="F837" s="9"/>
      <c r="G837"/>
      <c r="H837"/>
      <c r="I837"/>
      <c r="J837"/>
      <c r="K837"/>
    </row>
    <row r="838" spans="1:11" ht="12.75">
      <c r="A838" s="197" t="s">
        <v>734</v>
      </c>
      <c r="B838" s="200" t="s">
        <v>736</v>
      </c>
      <c r="C838" s="258">
        <v>0</v>
      </c>
      <c r="D838" s="158">
        <f t="shared" si="37"/>
        <v>0</v>
      </c>
      <c r="F838" s="9"/>
      <c r="G838" s="1"/>
      <c r="H838"/>
      <c r="I838"/>
      <c r="J838"/>
      <c r="K838"/>
    </row>
    <row r="839" spans="1:11" ht="12.75">
      <c r="A839" s="159"/>
      <c r="B839" s="160" t="s">
        <v>638</v>
      </c>
      <c r="C839" s="158">
        <f>SUM(C825:C838)</f>
        <v>1693254.653</v>
      </c>
      <c r="D839" s="158">
        <f>SUM(D825:D838)</f>
        <v>1693254.653</v>
      </c>
      <c r="F839"/>
      <c r="G839"/>
      <c r="H839"/>
      <c r="I839"/>
      <c r="J839"/>
      <c r="K839"/>
    </row>
    <row r="840" spans="9:11" ht="12.75">
      <c r="I840"/>
      <c r="J840"/>
      <c r="K840"/>
    </row>
    <row r="841" spans="1:11" ht="12.75">
      <c r="A841" s="157" t="s">
        <v>621</v>
      </c>
      <c r="B841" s="160" t="s">
        <v>998</v>
      </c>
      <c r="C841" s="157" t="s">
        <v>1014</v>
      </c>
      <c r="D841" s="157" t="s">
        <v>934</v>
      </c>
      <c r="F841"/>
      <c r="G841"/>
      <c r="H841"/>
      <c r="I841"/>
      <c r="J841"/>
      <c r="K841"/>
    </row>
    <row r="842" spans="1:11" ht="12.75">
      <c r="A842" s="157"/>
      <c r="B842" s="276"/>
      <c r="C842" s="157" t="s">
        <v>74</v>
      </c>
      <c r="D842" s="157" t="s">
        <v>638</v>
      </c>
      <c r="F842"/>
      <c r="G842"/>
      <c r="H842"/>
      <c r="I842"/>
      <c r="J842"/>
      <c r="K842"/>
    </row>
    <row r="843" spans="1:11" ht="12.75">
      <c r="A843" s="277" t="s">
        <v>999</v>
      </c>
      <c r="F843"/>
      <c r="G843"/>
      <c r="H843"/>
      <c r="I843"/>
      <c r="J843"/>
      <c r="K843"/>
    </row>
    <row r="844" spans="1:11" ht="12.75">
      <c r="A844" s="197" t="s">
        <v>666</v>
      </c>
      <c r="B844" s="200" t="s">
        <v>667</v>
      </c>
      <c r="C844" s="258">
        <f>208330-18300</f>
        <v>190030</v>
      </c>
      <c r="D844" s="158">
        <f aca="true" t="shared" si="38" ref="D844:D857">SUM(C844:C844)</f>
        <v>190030</v>
      </c>
      <c r="F844" s="9"/>
      <c r="G844"/>
      <c r="H844"/>
      <c r="I844"/>
      <c r="J844"/>
      <c r="K844"/>
    </row>
    <row r="845" spans="1:11" ht="12.75">
      <c r="A845" s="197" t="s">
        <v>668</v>
      </c>
      <c r="B845" s="200" t="s">
        <v>669</v>
      </c>
      <c r="C845" s="258">
        <f>4180-160</f>
        <v>4020</v>
      </c>
      <c r="D845" s="158">
        <f t="shared" si="38"/>
        <v>4020</v>
      </c>
      <c r="F845" s="9"/>
      <c r="G845"/>
      <c r="H845"/>
      <c r="I845"/>
      <c r="J845"/>
      <c r="K845"/>
    </row>
    <row r="846" spans="1:11" ht="12.75">
      <c r="A846" s="197" t="s">
        <v>670</v>
      </c>
      <c r="B846" s="200" t="s">
        <v>726</v>
      </c>
      <c r="C846" s="258">
        <v>0</v>
      </c>
      <c r="D846" s="158">
        <f t="shared" si="38"/>
        <v>0</v>
      </c>
      <c r="F846" s="9"/>
      <c r="G846"/>
      <c r="H846"/>
      <c r="I846"/>
      <c r="J846"/>
      <c r="K846"/>
    </row>
    <row r="847" spans="1:11" ht="12.75">
      <c r="A847" s="197" t="s">
        <v>672</v>
      </c>
      <c r="B847" s="200" t="s">
        <v>671</v>
      </c>
      <c r="C847" s="258">
        <v>0</v>
      </c>
      <c r="D847" s="158">
        <f t="shared" si="38"/>
        <v>0</v>
      </c>
      <c r="F847" s="9"/>
      <c r="G847"/>
      <c r="H847"/>
      <c r="I847"/>
      <c r="J847"/>
      <c r="K847"/>
    </row>
    <row r="848" spans="1:11" ht="12.75">
      <c r="A848" s="197" t="s">
        <v>673</v>
      </c>
      <c r="B848" s="200" t="s">
        <v>674</v>
      </c>
      <c r="C848" s="258">
        <f>24460-970</f>
        <v>23490</v>
      </c>
      <c r="D848" s="158">
        <f t="shared" si="38"/>
        <v>23490</v>
      </c>
      <c r="F848" s="9"/>
      <c r="G848"/>
      <c r="H848"/>
      <c r="I848"/>
      <c r="J848"/>
      <c r="K848"/>
    </row>
    <row r="849" spans="1:11" ht="12.75">
      <c r="A849" s="197" t="s">
        <v>675</v>
      </c>
      <c r="B849" s="200" t="s">
        <v>727</v>
      </c>
      <c r="C849" s="258">
        <f>2210-80</f>
        <v>2130</v>
      </c>
      <c r="D849" s="158">
        <f t="shared" si="38"/>
        <v>2130</v>
      </c>
      <c r="F849" s="9"/>
      <c r="G849"/>
      <c r="H849"/>
      <c r="I849"/>
      <c r="J849"/>
      <c r="K849"/>
    </row>
    <row r="850" spans="1:11" ht="12.75">
      <c r="A850" s="197" t="s">
        <v>677</v>
      </c>
      <c r="B850" s="200" t="s">
        <v>676</v>
      </c>
      <c r="C850" s="258">
        <f>15560-620</f>
        <v>14940</v>
      </c>
      <c r="D850" s="158">
        <f t="shared" si="38"/>
        <v>14940</v>
      </c>
      <c r="F850" s="9"/>
      <c r="G850"/>
      <c r="H850"/>
      <c r="I850"/>
      <c r="J850"/>
      <c r="K850"/>
    </row>
    <row r="851" spans="1:11" ht="12.75">
      <c r="A851" s="197" t="s">
        <v>679</v>
      </c>
      <c r="B851" s="200" t="s">
        <v>678</v>
      </c>
      <c r="C851" s="258">
        <f>17260-690</f>
        <v>16570</v>
      </c>
      <c r="D851" s="158">
        <f t="shared" si="38"/>
        <v>16570</v>
      </c>
      <c r="F851" s="9"/>
      <c r="G851"/>
      <c r="H851"/>
      <c r="I851"/>
      <c r="J851"/>
      <c r="K851"/>
    </row>
    <row r="852" spans="1:11" ht="12.75">
      <c r="A852" s="197" t="s">
        <v>680</v>
      </c>
      <c r="B852" s="200" t="s">
        <v>728</v>
      </c>
      <c r="C852" s="258">
        <f>5810-230</f>
        <v>5580</v>
      </c>
      <c r="D852" s="158">
        <f t="shared" si="38"/>
        <v>5580</v>
      </c>
      <c r="F852" s="9"/>
      <c r="G852"/>
      <c r="H852"/>
      <c r="I852"/>
      <c r="J852"/>
      <c r="K852"/>
    </row>
    <row r="853" spans="1:11" ht="12.75">
      <c r="A853" s="197" t="s">
        <v>681</v>
      </c>
      <c r="B853" s="200" t="s">
        <v>730</v>
      </c>
      <c r="C853" s="258">
        <f>17440-690</f>
        <v>16750</v>
      </c>
      <c r="D853" s="158">
        <f t="shared" si="38"/>
        <v>16750</v>
      </c>
      <c r="F853" s="9"/>
      <c r="G853"/>
      <c r="H853"/>
      <c r="I853"/>
      <c r="J853"/>
      <c r="K853"/>
    </row>
    <row r="854" spans="1:11" ht="12.75">
      <c r="A854" s="197" t="s">
        <v>725</v>
      </c>
      <c r="B854" s="200" t="s">
        <v>731</v>
      </c>
      <c r="C854" s="258">
        <f>21110-840</f>
        <v>20270</v>
      </c>
      <c r="D854" s="158">
        <f t="shared" si="38"/>
        <v>20270</v>
      </c>
      <c r="F854" s="9"/>
      <c r="G854"/>
      <c r="H854"/>
      <c r="I854"/>
      <c r="J854"/>
      <c r="K854"/>
    </row>
    <row r="855" spans="1:11" ht="12.75">
      <c r="A855" s="197" t="s">
        <v>729</v>
      </c>
      <c r="B855" s="200" t="s">
        <v>732</v>
      </c>
      <c r="C855" s="258">
        <f>12440-490</f>
        <v>11950</v>
      </c>
      <c r="D855" s="158">
        <f t="shared" si="38"/>
        <v>11950</v>
      </c>
      <c r="F855" s="9"/>
      <c r="G855"/>
      <c r="H855"/>
      <c r="I855"/>
      <c r="J855"/>
      <c r="K855"/>
    </row>
    <row r="856" spans="1:11" ht="12.75">
      <c r="A856" s="197" t="s">
        <v>733</v>
      </c>
      <c r="B856" s="200" t="s">
        <v>735</v>
      </c>
      <c r="C856" s="258">
        <f>2730-100</f>
        <v>2630</v>
      </c>
      <c r="D856" s="158">
        <f t="shared" si="38"/>
        <v>2630</v>
      </c>
      <c r="F856" s="9"/>
      <c r="G856"/>
      <c r="H856"/>
      <c r="I856"/>
      <c r="J856"/>
      <c r="K856"/>
    </row>
    <row r="857" spans="1:11" ht="12.75">
      <c r="A857" s="197" t="s">
        <v>734</v>
      </c>
      <c r="B857" s="200" t="s">
        <v>736</v>
      </c>
      <c r="C857" s="258">
        <v>0</v>
      </c>
      <c r="D857" s="158">
        <f t="shared" si="38"/>
        <v>0</v>
      </c>
      <c r="F857" s="9"/>
      <c r="G857"/>
      <c r="H857"/>
      <c r="I857"/>
      <c r="J857"/>
      <c r="K857"/>
    </row>
    <row r="858" spans="1:11" ht="12.75">
      <c r="A858" s="159"/>
      <c r="B858" s="160" t="s">
        <v>638</v>
      </c>
      <c r="C858" s="158">
        <f>SUM(C844:C857)</f>
        <v>308360</v>
      </c>
      <c r="D858" s="158">
        <f>SUM(D844:D857)</f>
        <v>308360</v>
      </c>
      <c r="F858" s="1"/>
      <c r="G858"/>
      <c r="H858"/>
      <c r="I858"/>
      <c r="J858"/>
      <c r="K858"/>
    </row>
    <row r="859" ht="12.75"/>
    <row r="860" ht="12.75">
      <c r="A860" s="48" t="str">
        <f>+A817</f>
        <v> </v>
      </c>
    </row>
    <row r="861" spans="1:10" ht="12.75">
      <c r="A861" s="764" t="s">
        <v>383</v>
      </c>
      <c r="B861" s="764"/>
      <c r="C861" s="764"/>
      <c r="D861" s="764"/>
      <c r="E861" s="14"/>
      <c r="F861" s="14"/>
      <c r="G861" s="14"/>
      <c r="H861" s="14"/>
      <c r="I861" s="14"/>
      <c r="J861" s="14"/>
    </row>
    <row r="862" spans="1:2" ht="12.75">
      <c r="A862" s="33" t="str">
        <f>+A819</f>
        <v>Juris.:</v>
      </c>
      <c r="B862" s="14" t="s">
        <v>73</v>
      </c>
    </row>
    <row r="863" spans="1:2" ht="12.75">
      <c r="A863" s="33" t="s">
        <v>1012</v>
      </c>
      <c r="B863" s="14"/>
    </row>
    <row r="864" spans="9:11" ht="12.75">
      <c r="I864"/>
      <c r="J864"/>
      <c r="K864"/>
    </row>
    <row r="865" spans="1:11" ht="12.75">
      <c r="A865" s="157" t="s">
        <v>621</v>
      </c>
      <c r="B865" s="160" t="s">
        <v>1001</v>
      </c>
      <c r="C865" s="157" t="s">
        <v>1014</v>
      </c>
      <c r="D865" s="157" t="s">
        <v>934</v>
      </c>
      <c r="F865"/>
      <c r="G865"/>
      <c r="H865"/>
      <c r="I865"/>
      <c r="J865"/>
      <c r="K865"/>
    </row>
    <row r="866" spans="1:11" ht="12.75">
      <c r="A866" s="157"/>
      <c r="B866" s="276"/>
      <c r="C866" s="157" t="s">
        <v>74</v>
      </c>
      <c r="D866" s="157" t="s">
        <v>638</v>
      </c>
      <c r="F866" s="564"/>
      <c r="G866"/>
      <c r="H866"/>
      <c r="I866"/>
      <c r="J866"/>
      <c r="K866"/>
    </row>
    <row r="867" spans="1:11" ht="12.75">
      <c r="A867" s="277" t="s">
        <v>1000</v>
      </c>
      <c r="G867"/>
      <c r="H867"/>
      <c r="I867"/>
      <c r="J867"/>
      <c r="K867"/>
    </row>
    <row r="868" spans="1:11" ht="12.75">
      <c r="A868" s="193">
        <v>1</v>
      </c>
      <c r="B868" s="200" t="s">
        <v>834</v>
      </c>
      <c r="C868" s="258">
        <f>4650-740</f>
        <v>3910</v>
      </c>
      <c r="D868" s="158">
        <f aca="true" t="shared" si="39" ref="D868:D886">SUM(C868:C868)</f>
        <v>3910</v>
      </c>
      <c r="F868" s="9"/>
      <c r="G868"/>
      <c r="H868"/>
      <c r="I868"/>
      <c r="J868"/>
      <c r="K868"/>
    </row>
    <row r="869" spans="1:11" ht="12.75">
      <c r="A869" s="193">
        <v>2</v>
      </c>
      <c r="B869" s="200" t="s">
        <v>835</v>
      </c>
      <c r="C869" s="258"/>
      <c r="D869" s="158">
        <f t="shared" si="39"/>
        <v>0</v>
      </c>
      <c r="F869" s="9"/>
      <c r="G869"/>
      <c r="H869"/>
      <c r="I869"/>
      <c r="J869"/>
      <c r="K869"/>
    </row>
    <row r="870" spans="1:11" ht="12.75">
      <c r="A870" s="193">
        <v>3</v>
      </c>
      <c r="B870" s="200" t="s">
        <v>836</v>
      </c>
      <c r="C870" s="258"/>
      <c r="D870" s="158">
        <f t="shared" si="39"/>
        <v>0</v>
      </c>
      <c r="F870" s="9"/>
      <c r="G870"/>
      <c r="H870"/>
      <c r="I870"/>
      <c r="J870"/>
      <c r="K870"/>
    </row>
    <row r="871" spans="1:11" ht="12.75">
      <c r="A871" s="193">
        <v>4</v>
      </c>
      <c r="B871" s="200" t="s">
        <v>837</v>
      </c>
      <c r="C871" s="258">
        <f>6100-970</f>
        <v>5130</v>
      </c>
      <c r="D871" s="158">
        <f t="shared" si="39"/>
        <v>5130</v>
      </c>
      <c r="F871" s="9"/>
      <c r="G871"/>
      <c r="H871"/>
      <c r="I871"/>
      <c r="J871"/>
      <c r="K871"/>
    </row>
    <row r="872" spans="1:11" ht="12.75">
      <c r="A872" s="193">
        <v>5</v>
      </c>
      <c r="B872" s="200" t="s">
        <v>838</v>
      </c>
      <c r="C872" s="258">
        <f>11470-1830-7000</f>
        <v>2640</v>
      </c>
      <c r="D872" s="158">
        <f t="shared" si="39"/>
        <v>2640</v>
      </c>
      <c r="F872" s="9"/>
      <c r="G872"/>
      <c r="H872"/>
      <c r="I872"/>
      <c r="J872"/>
      <c r="K872"/>
    </row>
    <row r="873" spans="1:11" ht="12.75">
      <c r="A873" s="193">
        <v>6</v>
      </c>
      <c r="B873" s="200" t="s">
        <v>839</v>
      </c>
      <c r="C873" s="258">
        <f>4140-660</f>
        <v>3480</v>
      </c>
      <c r="D873" s="158">
        <f t="shared" si="39"/>
        <v>3480</v>
      </c>
      <c r="F873" s="9"/>
      <c r="G873"/>
      <c r="H873"/>
      <c r="I873"/>
      <c r="J873"/>
      <c r="K873"/>
    </row>
    <row r="874" spans="1:11" ht="12.75">
      <c r="A874" s="193">
        <v>7</v>
      </c>
      <c r="B874" s="200" t="s">
        <v>840</v>
      </c>
      <c r="C874" s="258">
        <f>51040-8160-10000</f>
        <v>32880</v>
      </c>
      <c r="D874" s="158">
        <f t="shared" si="39"/>
        <v>32880</v>
      </c>
      <c r="F874" s="9"/>
      <c r="G874"/>
      <c r="H874"/>
      <c r="I874"/>
      <c r="J874"/>
      <c r="K874"/>
    </row>
    <row r="875" spans="1:11" ht="12.75">
      <c r="A875" s="193">
        <v>8</v>
      </c>
      <c r="B875" s="200" t="s">
        <v>842</v>
      </c>
      <c r="C875" s="258"/>
      <c r="D875" s="158">
        <f t="shared" si="39"/>
        <v>0</v>
      </c>
      <c r="F875" s="9"/>
      <c r="G875"/>
      <c r="H875"/>
      <c r="I875"/>
      <c r="J875"/>
      <c r="K875"/>
    </row>
    <row r="876" spans="1:11" ht="12.75">
      <c r="A876" s="193">
        <v>9</v>
      </c>
      <c r="B876" s="200" t="s">
        <v>843</v>
      </c>
      <c r="C876" s="258">
        <f>8550-1360</f>
        <v>7190</v>
      </c>
      <c r="D876" s="158">
        <f t="shared" si="39"/>
        <v>7190</v>
      </c>
      <c r="F876" s="9"/>
      <c r="G876"/>
      <c r="H876"/>
      <c r="I876"/>
      <c r="J876"/>
      <c r="K876"/>
    </row>
    <row r="877" spans="1:11" ht="12.75">
      <c r="A877" s="193">
        <v>10</v>
      </c>
      <c r="B877" s="200" t="s">
        <v>844</v>
      </c>
      <c r="C877" s="258">
        <f>950-150</f>
        <v>800</v>
      </c>
      <c r="D877" s="158">
        <f t="shared" si="39"/>
        <v>800</v>
      </c>
      <c r="F877" s="9"/>
      <c r="G877"/>
      <c r="H877"/>
      <c r="I877"/>
      <c r="J877"/>
      <c r="K877"/>
    </row>
    <row r="878" spans="1:11" ht="12.75">
      <c r="A878" s="193">
        <v>11</v>
      </c>
      <c r="B878" s="200" t="s">
        <v>845</v>
      </c>
      <c r="C878" s="258">
        <f>500-80</f>
        <v>420</v>
      </c>
      <c r="D878" s="158">
        <f t="shared" si="39"/>
        <v>420</v>
      </c>
      <c r="F878" s="9"/>
      <c r="G878"/>
      <c r="H878"/>
      <c r="I878"/>
      <c r="J878"/>
      <c r="K878"/>
    </row>
    <row r="879" spans="1:11" ht="12.75">
      <c r="A879" s="193">
        <v>12</v>
      </c>
      <c r="B879" s="200" t="s">
        <v>846</v>
      </c>
      <c r="C879" s="258"/>
      <c r="D879" s="158">
        <f t="shared" si="39"/>
        <v>0</v>
      </c>
      <c r="F879" s="9"/>
      <c r="G879"/>
      <c r="H879"/>
      <c r="I879"/>
      <c r="J879"/>
      <c r="K879"/>
    </row>
    <row r="880" spans="1:11" ht="12.75">
      <c r="A880" s="193">
        <v>13</v>
      </c>
      <c r="B880" s="200" t="s">
        <v>847</v>
      </c>
      <c r="C880" s="258"/>
      <c r="D880" s="158">
        <f t="shared" si="39"/>
        <v>0</v>
      </c>
      <c r="F880" s="9"/>
      <c r="G880"/>
      <c r="H880"/>
      <c r="I880"/>
      <c r="J880"/>
      <c r="K880"/>
    </row>
    <row r="881" spans="1:11" ht="12.75">
      <c r="A881" s="193">
        <v>14</v>
      </c>
      <c r="B881" s="200" t="s">
        <v>848</v>
      </c>
      <c r="C881" s="258"/>
      <c r="D881" s="158">
        <f t="shared" si="39"/>
        <v>0</v>
      </c>
      <c r="F881" s="9"/>
      <c r="G881"/>
      <c r="H881"/>
      <c r="I881"/>
      <c r="J881"/>
      <c r="K881"/>
    </row>
    <row r="882" spans="1:11" ht="12.75">
      <c r="A882" s="193">
        <v>15</v>
      </c>
      <c r="B882" s="200" t="s">
        <v>849</v>
      </c>
      <c r="C882" s="258">
        <f>5000-800</f>
        <v>4200</v>
      </c>
      <c r="D882" s="158">
        <f t="shared" si="39"/>
        <v>4200</v>
      </c>
      <c r="F882" s="9"/>
      <c r="G882"/>
      <c r="H882"/>
      <c r="I882"/>
      <c r="J882"/>
      <c r="K882"/>
    </row>
    <row r="883" spans="1:11" ht="12.75">
      <c r="A883" s="193">
        <v>16</v>
      </c>
      <c r="B883" s="200" t="s">
        <v>850</v>
      </c>
      <c r="C883" s="258"/>
      <c r="D883" s="158">
        <f t="shared" si="39"/>
        <v>0</v>
      </c>
      <c r="F883" s="9"/>
      <c r="G883"/>
      <c r="H883"/>
      <c r="I883"/>
      <c r="J883"/>
      <c r="K883"/>
    </row>
    <row r="884" spans="1:11" ht="12.75">
      <c r="A884" s="193">
        <v>17</v>
      </c>
      <c r="B884" s="200" t="s">
        <v>851</v>
      </c>
      <c r="C884" s="258"/>
      <c r="D884" s="158">
        <f t="shared" si="39"/>
        <v>0</v>
      </c>
      <c r="F884" s="9"/>
      <c r="G884"/>
      <c r="H884"/>
      <c r="I884"/>
      <c r="J884"/>
      <c r="K884"/>
    </row>
    <row r="885" spans="1:11" ht="12.75">
      <c r="A885" s="193">
        <v>18</v>
      </c>
      <c r="B885" s="200" t="s">
        <v>852</v>
      </c>
      <c r="C885" s="258"/>
      <c r="D885" s="158">
        <f t="shared" si="39"/>
        <v>0</v>
      </c>
      <c r="F885" s="9"/>
      <c r="G885"/>
      <c r="H885"/>
      <c r="I885"/>
      <c r="J885"/>
      <c r="K885"/>
    </row>
    <row r="886" spans="1:11" ht="12.75">
      <c r="A886" s="193">
        <v>19</v>
      </c>
      <c r="B886" s="200" t="s">
        <v>853</v>
      </c>
      <c r="C886" s="258"/>
      <c r="D886" s="158">
        <f t="shared" si="39"/>
        <v>0</v>
      </c>
      <c r="F886" s="9"/>
      <c r="G886"/>
      <c r="H886"/>
      <c r="I886"/>
      <c r="J886"/>
      <c r="K886"/>
    </row>
    <row r="887" spans="1:11" ht="12.75">
      <c r="A887" s="159"/>
      <c r="B887" s="160" t="s">
        <v>638</v>
      </c>
      <c r="C887" s="158">
        <f>SUM(C868:C886)</f>
        <v>60650</v>
      </c>
      <c r="D887" s="158">
        <f>SUM(D868:D886)</f>
        <v>60650</v>
      </c>
      <c r="F887"/>
      <c r="G887"/>
      <c r="H887"/>
      <c r="I887"/>
      <c r="J887"/>
      <c r="K887"/>
    </row>
    <row r="888" ht="12.75"/>
    <row r="889" spans="1:11" ht="12.75">
      <c r="A889" s="157" t="s">
        <v>621</v>
      </c>
      <c r="B889" s="160" t="s">
        <v>990</v>
      </c>
      <c r="C889" s="157" t="s">
        <v>1014</v>
      </c>
      <c r="D889" s="157" t="s">
        <v>934</v>
      </c>
      <c r="F889"/>
      <c r="G889"/>
      <c r="H889"/>
      <c r="I889"/>
      <c r="J889"/>
      <c r="K889"/>
    </row>
    <row r="890" spans="1:11" ht="12.75">
      <c r="A890" s="157"/>
      <c r="B890" s="276"/>
      <c r="C890" s="157" t="s">
        <v>74</v>
      </c>
      <c r="D890" s="157" t="s">
        <v>638</v>
      </c>
      <c r="F890"/>
      <c r="G890"/>
      <c r="H890"/>
      <c r="I890"/>
      <c r="J890"/>
      <c r="K890"/>
    </row>
    <row r="891" spans="1:11" ht="12.75">
      <c r="A891" s="277" t="s">
        <v>1002</v>
      </c>
      <c r="F891"/>
      <c r="G891"/>
      <c r="H891"/>
      <c r="I891"/>
      <c r="J891"/>
      <c r="K891"/>
    </row>
    <row r="892" spans="1:11" ht="12.75">
      <c r="A892" s="193">
        <v>1</v>
      </c>
      <c r="B892" s="200" t="s">
        <v>854</v>
      </c>
      <c r="C892" s="258"/>
      <c r="D892" s="158">
        <f aca="true" t="shared" si="40" ref="D892:D913">SUM(C892:C892)</f>
        <v>0</v>
      </c>
      <c r="F892" s="9"/>
      <c r="G892"/>
      <c r="H892"/>
      <c r="I892"/>
      <c r="J892"/>
      <c r="K892"/>
    </row>
    <row r="893" spans="1:11" ht="12.75">
      <c r="A893" s="193">
        <v>2</v>
      </c>
      <c r="B893" s="200" t="s">
        <v>855</v>
      </c>
      <c r="C893" s="258"/>
      <c r="D893" s="158">
        <f t="shared" si="40"/>
        <v>0</v>
      </c>
      <c r="F893" s="9"/>
      <c r="G893"/>
      <c r="H893"/>
      <c r="I893"/>
      <c r="J893"/>
      <c r="K893"/>
    </row>
    <row r="894" spans="1:11" ht="12.75">
      <c r="A894" s="193">
        <v>3</v>
      </c>
      <c r="B894" s="200" t="s">
        <v>856</v>
      </c>
      <c r="C894" s="258"/>
      <c r="D894" s="158">
        <f t="shared" si="40"/>
        <v>0</v>
      </c>
      <c r="F894" s="9"/>
      <c r="G894"/>
      <c r="H894"/>
      <c r="I894"/>
      <c r="J894"/>
      <c r="K894"/>
    </row>
    <row r="895" spans="1:11" ht="12.75">
      <c r="A895" s="193">
        <v>4</v>
      </c>
      <c r="B895" s="200" t="s">
        <v>857</v>
      </c>
      <c r="C895" s="258"/>
      <c r="D895" s="158">
        <f t="shared" si="40"/>
        <v>0</v>
      </c>
      <c r="F895" s="9"/>
      <c r="G895"/>
      <c r="H895"/>
      <c r="I895"/>
      <c r="J895"/>
      <c r="K895"/>
    </row>
    <row r="896" spans="1:11" ht="12.75">
      <c r="A896" s="193">
        <v>5</v>
      </c>
      <c r="B896" s="200" t="s">
        <v>858</v>
      </c>
      <c r="C896" s="258">
        <f>6000-960</f>
        <v>5040</v>
      </c>
      <c r="D896" s="158">
        <f t="shared" si="40"/>
        <v>5040</v>
      </c>
      <c r="F896" s="9"/>
      <c r="G896"/>
      <c r="H896"/>
      <c r="I896"/>
      <c r="J896"/>
      <c r="K896"/>
    </row>
    <row r="897" spans="1:11" ht="12.75">
      <c r="A897" s="193">
        <v>6</v>
      </c>
      <c r="B897" s="200" t="s">
        <v>859</v>
      </c>
      <c r="C897" s="258">
        <f>3600-570</f>
        <v>3030</v>
      </c>
      <c r="D897" s="158">
        <f t="shared" si="40"/>
        <v>3030</v>
      </c>
      <c r="F897" s="9"/>
      <c r="G897"/>
      <c r="H897"/>
      <c r="I897"/>
      <c r="J897"/>
      <c r="K897"/>
    </row>
    <row r="898" spans="1:11" ht="12.75">
      <c r="A898" s="193">
        <v>7</v>
      </c>
      <c r="B898" s="200" t="s">
        <v>860</v>
      </c>
      <c r="C898" s="280"/>
      <c r="D898" s="158">
        <f t="shared" si="40"/>
        <v>0</v>
      </c>
      <c r="F898" s="9"/>
      <c r="G898"/>
      <c r="H898"/>
      <c r="I898"/>
      <c r="J898"/>
      <c r="K898"/>
    </row>
    <row r="899" spans="1:11" ht="12.75">
      <c r="A899" s="193">
        <v>8</v>
      </c>
      <c r="B899" s="200" t="s">
        <v>861</v>
      </c>
      <c r="C899" s="258"/>
      <c r="D899" s="158">
        <f t="shared" si="40"/>
        <v>0</v>
      </c>
      <c r="F899" s="9"/>
      <c r="G899"/>
      <c r="H899"/>
      <c r="I899"/>
      <c r="J899"/>
      <c r="K899"/>
    </row>
    <row r="900" spans="1:11" ht="12.75">
      <c r="A900" s="193">
        <v>9</v>
      </c>
      <c r="B900" s="200" t="s">
        <v>862</v>
      </c>
      <c r="C900" s="258">
        <f>7600-1210</f>
        <v>6390</v>
      </c>
      <c r="D900" s="158">
        <f t="shared" si="40"/>
        <v>6390</v>
      </c>
      <c r="F900" s="9"/>
      <c r="G900"/>
      <c r="H900"/>
      <c r="I900"/>
      <c r="J900"/>
      <c r="K900"/>
    </row>
    <row r="901" spans="1:11" ht="12.75">
      <c r="A901" s="193">
        <v>10</v>
      </c>
      <c r="B901" s="200" t="s">
        <v>863</v>
      </c>
      <c r="C901" s="258"/>
      <c r="D901" s="158">
        <f t="shared" si="40"/>
        <v>0</v>
      </c>
      <c r="F901" s="9"/>
      <c r="G901"/>
      <c r="H901"/>
      <c r="I901"/>
      <c r="J901"/>
      <c r="K901"/>
    </row>
    <row r="902" spans="1:11" ht="12.75">
      <c r="A902" s="193">
        <v>11</v>
      </c>
      <c r="B902" s="200" t="s">
        <v>864</v>
      </c>
      <c r="C902" s="258"/>
      <c r="D902" s="158">
        <f t="shared" si="40"/>
        <v>0</v>
      </c>
      <c r="F902" s="9"/>
      <c r="G902"/>
      <c r="H902"/>
      <c r="I902"/>
      <c r="J902"/>
      <c r="K902"/>
    </row>
    <row r="903" spans="1:11" ht="12.75">
      <c r="A903" s="193">
        <v>12</v>
      </c>
      <c r="B903" s="200" t="s">
        <v>865</v>
      </c>
      <c r="C903" s="258"/>
      <c r="D903" s="158">
        <f t="shared" si="40"/>
        <v>0</v>
      </c>
      <c r="F903" s="9"/>
      <c r="G903"/>
      <c r="H903"/>
      <c r="I903"/>
      <c r="J903"/>
      <c r="K903"/>
    </row>
    <row r="904" spans="1:11" ht="12.75">
      <c r="A904" s="193">
        <v>13</v>
      </c>
      <c r="B904" s="200" t="s">
        <v>866</v>
      </c>
      <c r="C904" s="258">
        <f>7300-1160</f>
        <v>6140</v>
      </c>
      <c r="D904" s="158">
        <f t="shared" si="40"/>
        <v>6140</v>
      </c>
      <c r="F904" s="9"/>
      <c r="G904"/>
      <c r="H904"/>
      <c r="I904"/>
      <c r="J904"/>
      <c r="K904"/>
    </row>
    <row r="905" spans="1:11" ht="12.75">
      <c r="A905" s="193">
        <v>14</v>
      </c>
      <c r="B905" s="200" t="s">
        <v>867</v>
      </c>
      <c r="C905" s="258">
        <f>20000-3200</f>
        <v>16800</v>
      </c>
      <c r="D905" s="158">
        <f t="shared" si="40"/>
        <v>16800</v>
      </c>
      <c r="F905" s="9"/>
      <c r="G905"/>
      <c r="H905"/>
      <c r="I905"/>
      <c r="J905"/>
      <c r="K905"/>
    </row>
    <row r="906" spans="1:11" ht="12.75">
      <c r="A906" s="193">
        <v>15</v>
      </c>
      <c r="B906" s="200" t="s">
        <v>868</v>
      </c>
      <c r="C906" s="258"/>
      <c r="D906" s="158">
        <f t="shared" si="40"/>
        <v>0</v>
      </c>
      <c r="F906" s="9"/>
      <c r="G906"/>
      <c r="H906"/>
      <c r="I906"/>
      <c r="J906"/>
      <c r="K906"/>
    </row>
    <row r="907" spans="1:11" ht="12.75">
      <c r="A907" s="193">
        <v>16</v>
      </c>
      <c r="B907" s="200" t="s">
        <v>869</v>
      </c>
      <c r="C907" s="258"/>
      <c r="D907" s="158">
        <f t="shared" si="40"/>
        <v>0</v>
      </c>
      <c r="F907" s="9"/>
      <c r="G907"/>
      <c r="H907"/>
      <c r="I907"/>
      <c r="J907"/>
      <c r="K907"/>
    </row>
    <row r="908" spans="1:11" ht="12.75">
      <c r="A908" s="193">
        <v>17</v>
      </c>
      <c r="B908" s="200" t="s">
        <v>870</v>
      </c>
      <c r="C908" s="258">
        <f>5000-800</f>
        <v>4200</v>
      </c>
      <c r="D908" s="158">
        <f t="shared" si="40"/>
        <v>4200</v>
      </c>
      <c r="F908" s="9"/>
      <c r="G908"/>
      <c r="H908"/>
      <c r="I908"/>
      <c r="J908"/>
      <c r="K908"/>
    </row>
    <row r="909" spans="1:11" ht="12.75">
      <c r="A909" s="193">
        <v>18</v>
      </c>
      <c r="B909" s="200" t="s">
        <v>871</v>
      </c>
      <c r="C909" s="258"/>
      <c r="D909" s="158">
        <f t="shared" si="40"/>
        <v>0</v>
      </c>
      <c r="F909" s="9"/>
      <c r="G909"/>
      <c r="H909"/>
      <c r="I909"/>
      <c r="J909"/>
      <c r="K909"/>
    </row>
    <row r="910" spans="1:11" ht="12.75">
      <c r="A910" s="193">
        <v>19</v>
      </c>
      <c r="B910" s="200" t="s">
        <v>872</v>
      </c>
      <c r="C910" s="258"/>
      <c r="D910" s="158">
        <f t="shared" si="40"/>
        <v>0</v>
      </c>
      <c r="F910" s="9"/>
      <c r="G910"/>
      <c r="H910"/>
      <c r="I910"/>
      <c r="J910"/>
      <c r="K910"/>
    </row>
    <row r="911" spans="1:11" ht="12.75">
      <c r="A911" s="193">
        <v>20</v>
      </c>
      <c r="B911" s="200" t="s">
        <v>873</v>
      </c>
      <c r="C911" s="258">
        <f>10000-1600</f>
        <v>8400</v>
      </c>
      <c r="D911" s="158">
        <f t="shared" si="40"/>
        <v>8400</v>
      </c>
      <c r="F911" s="9"/>
      <c r="G911"/>
      <c r="H911"/>
      <c r="I911"/>
      <c r="J911"/>
      <c r="K911"/>
    </row>
    <row r="912" spans="1:11" ht="12.75">
      <c r="A912" s="193">
        <v>21</v>
      </c>
      <c r="B912" s="200" t="s">
        <v>874</v>
      </c>
      <c r="C912" s="258"/>
      <c r="D912" s="158">
        <f t="shared" si="40"/>
        <v>0</v>
      </c>
      <c r="F912" s="9"/>
      <c r="G912"/>
      <c r="H912"/>
      <c r="I912"/>
      <c r="J912"/>
      <c r="K912"/>
    </row>
    <row r="913" spans="1:11" ht="12.75">
      <c r="A913" s="193" t="s">
        <v>106</v>
      </c>
      <c r="B913" s="200" t="s">
        <v>117</v>
      </c>
      <c r="C913" s="258">
        <f>330200-52830-44000</f>
        <v>233370</v>
      </c>
      <c r="D913" s="158">
        <f t="shared" si="40"/>
        <v>233370</v>
      </c>
      <c r="F913" s="9"/>
      <c r="G913"/>
      <c r="H913"/>
      <c r="I913"/>
      <c r="J913"/>
      <c r="K913"/>
    </row>
    <row r="914" spans="1:11" ht="12.75">
      <c r="A914" s="159"/>
      <c r="B914" s="160" t="s">
        <v>638</v>
      </c>
      <c r="C914" s="158">
        <f>SUM(C892:C913)</f>
        <v>283370</v>
      </c>
      <c r="D914" s="158">
        <f>SUM(D892:D913)</f>
        <v>283370</v>
      </c>
      <c r="F914"/>
      <c r="G914"/>
      <c r="H914"/>
      <c r="I914"/>
      <c r="J914"/>
      <c r="K914"/>
    </row>
    <row r="916" spans="1:11" ht="12.75">
      <c r="A916" s="157" t="s">
        <v>621</v>
      </c>
      <c r="B916" s="160" t="s">
        <v>1016</v>
      </c>
      <c r="C916" s="157" t="s">
        <v>1014</v>
      </c>
      <c r="D916" s="157" t="s">
        <v>934</v>
      </c>
      <c r="F916"/>
      <c r="G916"/>
      <c r="H916"/>
      <c r="J916"/>
      <c r="K916"/>
    </row>
    <row r="917" spans="1:11" ht="12.75">
      <c r="A917" s="157"/>
      <c r="B917" s="276"/>
      <c r="C917" s="157" t="s">
        <v>74</v>
      </c>
      <c r="D917" s="157" t="s">
        <v>638</v>
      </c>
      <c r="F917"/>
      <c r="G917"/>
      <c r="H917"/>
      <c r="I917"/>
      <c r="J917"/>
      <c r="K917"/>
    </row>
    <row r="918" spans="1:11" ht="12.75">
      <c r="A918" s="277" t="s">
        <v>1003</v>
      </c>
      <c r="F918"/>
      <c r="G918"/>
      <c r="H918"/>
      <c r="I918"/>
      <c r="J918"/>
      <c r="K918"/>
    </row>
    <row r="919" spans="1:11" ht="12.75">
      <c r="A919" s="193">
        <v>1</v>
      </c>
      <c r="B919" s="200" t="s">
        <v>875</v>
      </c>
      <c r="C919" s="258"/>
      <c r="D919" s="158">
        <f aca="true" t="shared" si="41" ref="D919:D929">SUM(C919:C919)</f>
        <v>0</v>
      </c>
      <c r="F919" s="9"/>
      <c r="G919"/>
      <c r="H919"/>
      <c r="I919"/>
      <c r="J919"/>
      <c r="K919"/>
    </row>
    <row r="920" spans="1:11" ht="12.75">
      <c r="A920" s="193">
        <v>2</v>
      </c>
      <c r="B920" s="200" t="s">
        <v>876</v>
      </c>
      <c r="C920" s="258"/>
      <c r="D920" s="158">
        <f t="shared" si="41"/>
        <v>0</v>
      </c>
      <c r="F920" s="9"/>
      <c r="G920"/>
      <c r="H920"/>
      <c r="I920"/>
      <c r="J920"/>
      <c r="K920"/>
    </row>
    <row r="921" spans="1:11" ht="12.75">
      <c r="A921" s="193">
        <v>3</v>
      </c>
      <c r="B921" s="200" t="s">
        <v>877</v>
      </c>
      <c r="C921" s="258"/>
      <c r="D921" s="158">
        <f t="shared" si="41"/>
        <v>0</v>
      </c>
      <c r="F921" s="9"/>
      <c r="G921"/>
      <c r="H921"/>
      <c r="I921"/>
      <c r="J921"/>
      <c r="K921"/>
    </row>
    <row r="922" spans="1:11" ht="12.75">
      <c r="A922" s="193">
        <v>4</v>
      </c>
      <c r="B922" s="200" t="s">
        <v>878</v>
      </c>
      <c r="C922" s="258">
        <f>21690-3470-4000</f>
        <v>14220</v>
      </c>
      <c r="D922" s="158">
        <f t="shared" si="41"/>
        <v>14220</v>
      </c>
      <c r="F922" s="9"/>
      <c r="G922"/>
      <c r="H922"/>
      <c r="I922"/>
      <c r="J922"/>
      <c r="K922"/>
    </row>
    <row r="923" spans="1:11" ht="12.75">
      <c r="A923" s="193">
        <v>5</v>
      </c>
      <c r="B923" s="200" t="s">
        <v>879</v>
      </c>
      <c r="C923" s="258">
        <f>3170-500</f>
        <v>2670</v>
      </c>
      <c r="D923" s="158">
        <f t="shared" si="41"/>
        <v>2670</v>
      </c>
      <c r="F923" s="9"/>
      <c r="G923"/>
      <c r="H923"/>
      <c r="I923"/>
      <c r="J923"/>
      <c r="K923"/>
    </row>
    <row r="924" spans="1:11" ht="12.75">
      <c r="A924" s="193">
        <v>6</v>
      </c>
      <c r="B924" s="200" t="s">
        <v>880</v>
      </c>
      <c r="C924" s="258"/>
      <c r="D924" s="158">
        <f t="shared" si="41"/>
        <v>0</v>
      </c>
      <c r="F924" s="9"/>
      <c r="G924"/>
      <c r="H924"/>
      <c r="I924"/>
      <c r="J924"/>
      <c r="K924"/>
    </row>
    <row r="925" spans="1:11" ht="12.75">
      <c r="A925" s="193">
        <v>7</v>
      </c>
      <c r="B925" s="200" t="s">
        <v>893</v>
      </c>
      <c r="C925" s="258">
        <f>200-30</f>
        <v>170</v>
      </c>
      <c r="D925" s="158">
        <f t="shared" si="41"/>
        <v>170</v>
      </c>
      <c r="F925" s="9"/>
      <c r="G925"/>
      <c r="H925"/>
      <c r="I925"/>
      <c r="J925"/>
      <c r="K925"/>
    </row>
    <row r="926" spans="1:11" ht="12.75">
      <c r="A926" s="193">
        <v>8</v>
      </c>
      <c r="B926" s="200" t="s">
        <v>894</v>
      </c>
      <c r="C926" s="258">
        <f>4500-720</f>
        <v>3780</v>
      </c>
      <c r="D926" s="158">
        <f t="shared" si="41"/>
        <v>3780</v>
      </c>
      <c r="F926" s="9"/>
      <c r="G926"/>
      <c r="H926"/>
      <c r="I926"/>
      <c r="J926"/>
      <c r="K926"/>
    </row>
    <row r="927" spans="1:11" ht="12.75">
      <c r="A927" s="193">
        <v>9</v>
      </c>
      <c r="B927" s="200" t="s">
        <v>897</v>
      </c>
      <c r="C927" s="258"/>
      <c r="D927" s="158">
        <f t="shared" si="41"/>
        <v>0</v>
      </c>
      <c r="F927" s="9"/>
      <c r="G927"/>
      <c r="H927"/>
      <c r="I927"/>
      <c r="J927"/>
      <c r="K927"/>
    </row>
    <row r="928" spans="1:11" ht="12.75">
      <c r="A928" s="193">
        <v>10</v>
      </c>
      <c r="B928" s="200" t="s">
        <v>895</v>
      </c>
      <c r="C928" s="258">
        <f>1790-280</f>
        <v>1510</v>
      </c>
      <c r="D928" s="158">
        <f t="shared" si="41"/>
        <v>1510</v>
      </c>
      <c r="F928" s="9"/>
      <c r="G928"/>
      <c r="H928"/>
      <c r="I928"/>
      <c r="J928"/>
      <c r="K928"/>
    </row>
    <row r="929" spans="1:11" ht="12.75">
      <c r="A929" s="193" t="s">
        <v>911</v>
      </c>
      <c r="B929" s="200" t="s">
        <v>738</v>
      </c>
      <c r="C929" s="258"/>
      <c r="D929" s="158">
        <f t="shared" si="41"/>
        <v>0</v>
      </c>
      <c r="F929" s="9"/>
      <c r="G929"/>
      <c r="H929"/>
      <c r="I929"/>
      <c r="J929"/>
      <c r="K929"/>
    </row>
    <row r="930" spans="1:11" ht="12.75">
      <c r="A930" s="159"/>
      <c r="B930" s="160" t="s">
        <v>638</v>
      </c>
      <c r="C930" s="158">
        <f>SUM(C919:C929)</f>
        <v>22350</v>
      </c>
      <c r="D930" s="158">
        <f>SUM(D919:D929)</f>
        <v>22350</v>
      </c>
      <c r="F930"/>
      <c r="G930"/>
      <c r="H930"/>
      <c r="I930"/>
      <c r="J930"/>
      <c r="K930"/>
    </row>
    <row r="931" spans="1:11" ht="12.75">
      <c r="A931" s="48" t="s">
        <v>75</v>
      </c>
      <c r="K931"/>
    </row>
    <row r="933" ht="12.75">
      <c r="A933" s="87">
        <f>+A100</f>
        <v>0</v>
      </c>
    </row>
    <row r="934" spans="1:7" ht="12.75">
      <c r="A934" s="764" t="s">
        <v>383</v>
      </c>
      <c r="B934" s="764"/>
      <c r="C934" s="764"/>
      <c r="D934" s="764"/>
      <c r="E934" s="14"/>
      <c r="F934" s="14"/>
      <c r="G934" s="14"/>
    </row>
    <row r="935" spans="1:2" ht="12.75">
      <c r="A935" s="33" t="s">
        <v>37</v>
      </c>
      <c r="B935" s="14" t="s">
        <v>86</v>
      </c>
    </row>
    <row r="936" spans="1:2" ht="12.75">
      <c r="A936" s="33" t="s">
        <v>1012</v>
      </c>
      <c r="B936" s="14"/>
    </row>
    <row r="938" spans="1:11" ht="12.75">
      <c r="A938" s="157" t="s">
        <v>621</v>
      </c>
      <c r="B938" s="157" t="s">
        <v>996</v>
      </c>
      <c r="C938" s="157" t="s">
        <v>84</v>
      </c>
      <c r="D938" s="157" t="s">
        <v>1014</v>
      </c>
      <c r="E938" s="49"/>
      <c r="G938" s="50"/>
      <c r="I938"/>
      <c r="J938"/>
      <c r="K938"/>
    </row>
    <row r="939" spans="1:11" ht="12.75">
      <c r="A939" s="157"/>
      <c r="B939" s="157"/>
      <c r="C939" s="157" t="s">
        <v>95</v>
      </c>
      <c r="D939" s="157" t="s">
        <v>638</v>
      </c>
      <c r="E939" s="49"/>
      <c r="G939" s="51"/>
      <c r="I939"/>
      <c r="J939"/>
      <c r="K939"/>
    </row>
    <row r="940" spans="1:8" s="11" customFormat="1" ht="12.75">
      <c r="A940" s="277" t="s">
        <v>995</v>
      </c>
      <c r="B940" s="49"/>
      <c r="C940" s="49"/>
      <c r="D940" s="49"/>
      <c r="E940" s="49"/>
      <c r="F940" s="48"/>
      <c r="G940" s="51"/>
      <c r="H940" s="18"/>
    </row>
    <row r="941" spans="1:11" ht="12.75">
      <c r="A941" s="197" t="s">
        <v>666</v>
      </c>
      <c r="B941" s="200" t="s">
        <v>667</v>
      </c>
      <c r="C941" s="258">
        <f>124580-4980</f>
        <v>119600</v>
      </c>
      <c r="D941" s="158">
        <f aca="true" t="shared" si="42" ref="D941:D954">SUM(C941:C941)</f>
        <v>119600</v>
      </c>
      <c r="I941"/>
      <c r="J941"/>
      <c r="K941"/>
    </row>
    <row r="942" spans="1:11" ht="12.75">
      <c r="A942" s="197" t="s">
        <v>668</v>
      </c>
      <c r="B942" s="200" t="s">
        <v>669</v>
      </c>
      <c r="C942" s="258">
        <f>14010-560</f>
        <v>13450</v>
      </c>
      <c r="D942" s="158">
        <f t="shared" si="42"/>
        <v>13450</v>
      </c>
      <c r="I942"/>
      <c r="J942"/>
      <c r="K942"/>
    </row>
    <row r="943" spans="1:11" ht="12.75">
      <c r="A943" s="197" t="s">
        <v>670</v>
      </c>
      <c r="B943" s="200" t="s">
        <v>726</v>
      </c>
      <c r="C943" s="258">
        <v>0</v>
      </c>
      <c r="D943" s="158">
        <f t="shared" si="42"/>
        <v>0</v>
      </c>
      <c r="I943"/>
      <c r="J943"/>
      <c r="K943"/>
    </row>
    <row r="944" spans="1:11" ht="12.75">
      <c r="A944" s="197" t="s">
        <v>672</v>
      </c>
      <c r="B944" s="200" t="s">
        <v>671</v>
      </c>
      <c r="C944" s="258">
        <v>0</v>
      </c>
      <c r="D944" s="158">
        <f t="shared" si="42"/>
        <v>0</v>
      </c>
      <c r="I944"/>
      <c r="J944"/>
      <c r="K944"/>
    </row>
    <row r="945" spans="1:11" ht="12.75">
      <c r="A945" s="197" t="s">
        <v>673</v>
      </c>
      <c r="B945" s="200" t="s">
        <v>674</v>
      </c>
      <c r="C945" s="258">
        <f>71750-2870</f>
        <v>68880</v>
      </c>
      <c r="D945" s="158">
        <f t="shared" si="42"/>
        <v>68880</v>
      </c>
      <c r="I945"/>
      <c r="J945"/>
      <c r="K945"/>
    </row>
    <row r="946" spans="1:11" ht="12.75">
      <c r="A946" s="197" t="s">
        <v>675</v>
      </c>
      <c r="B946" s="200" t="s">
        <v>727</v>
      </c>
      <c r="C946" s="258">
        <v>0</v>
      </c>
      <c r="D946" s="158">
        <f t="shared" si="42"/>
        <v>0</v>
      </c>
      <c r="I946"/>
      <c r="J946"/>
      <c r="K946"/>
    </row>
    <row r="947" spans="1:11" ht="12.75">
      <c r="A947" s="197" t="s">
        <v>677</v>
      </c>
      <c r="B947" s="200" t="s">
        <v>676</v>
      </c>
      <c r="C947" s="258">
        <f>19860-790</f>
        <v>19070</v>
      </c>
      <c r="D947" s="158">
        <f t="shared" si="42"/>
        <v>19070</v>
      </c>
      <c r="I947"/>
      <c r="J947"/>
      <c r="K947"/>
    </row>
    <row r="948" spans="1:11" ht="12.75">
      <c r="A948" s="197" t="s">
        <v>679</v>
      </c>
      <c r="B948" s="200" t="s">
        <v>678</v>
      </c>
      <c r="C948" s="258">
        <f>7490-300</f>
        <v>7190</v>
      </c>
      <c r="D948" s="158">
        <f t="shared" si="42"/>
        <v>7190</v>
      </c>
      <c r="I948"/>
      <c r="J948"/>
      <c r="K948"/>
    </row>
    <row r="949" spans="1:11" ht="12.75">
      <c r="A949" s="197" t="s">
        <v>680</v>
      </c>
      <c r="B949" s="200" t="s">
        <v>728</v>
      </c>
      <c r="C949" s="258">
        <f>5430-210</f>
        <v>5220</v>
      </c>
      <c r="D949" s="158">
        <f t="shared" si="42"/>
        <v>5220</v>
      </c>
      <c r="I949"/>
      <c r="J949"/>
      <c r="K949"/>
    </row>
    <row r="950" spans="1:11" ht="12.75">
      <c r="A950" s="197" t="s">
        <v>681</v>
      </c>
      <c r="B950" s="200" t="s">
        <v>730</v>
      </c>
      <c r="C950" s="258">
        <f>23070-920</f>
        <v>22150</v>
      </c>
      <c r="D950" s="158">
        <f t="shared" si="42"/>
        <v>22150</v>
      </c>
      <c r="I950"/>
      <c r="J950"/>
      <c r="K950"/>
    </row>
    <row r="951" spans="1:11" ht="12.75">
      <c r="A951" s="197" t="s">
        <v>725</v>
      </c>
      <c r="B951" s="200" t="s">
        <v>731</v>
      </c>
      <c r="C951" s="258">
        <f>12710-500</f>
        <v>12210</v>
      </c>
      <c r="D951" s="158">
        <f t="shared" si="42"/>
        <v>12210</v>
      </c>
      <c r="I951"/>
      <c r="J951"/>
      <c r="K951"/>
    </row>
    <row r="952" spans="1:11" ht="12.75">
      <c r="A952" s="197" t="s">
        <v>729</v>
      </c>
      <c r="B952" s="200" t="s">
        <v>732</v>
      </c>
      <c r="C952" s="258">
        <f>7160-280</f>
        <v>6880</v>
      </c>
      <c r="D952" s="158">
        <f t="shared" si="42"/>
        <v>6880</v>
      </c>
      <c r="I952"/>
      <c r="J952"/>
      <c r="K952"/>
    </row>
    <row r="953" spans="1:11" ht="12.75">
      <c r="A953" s="197" t="s">
        <v>733</v>
      </c>
      <c r="B953" s="200" t="s">
        <v>735</v>
      </c>
      <c r="C953" s="258">
        <f>1190-50</f>
        <v>1140</v>
      </c>
      <c r="D953" s="158">
        <f t="shared" si="42"/>
        <v>1140</v>
      </c>
      <c r="I953"/>
      <c r="J953"/>
      <c r="K953"/>
    </row>
    <row r="954" spans="1:11" ht="12.75">
      <c r="A954" s="197" t="s">
        <v>734</v>
      </c>
      <c r="B954" s="200" t="s">
        <v>736</v>
      </c>
      <c r="C954" s="258">
        <v>0</v>
      </c>
      <c r="D954" s="158">
        <f t="shared" si="42"/>
        <v>0</v>
      </c>
      <c r="I954"/>
      <c r="J954"/>
      <c r="K954"/>
    </row>
    <row r="955" spans="1:11" ht="12.75">
      <c r="A955" s="159"/>
      <c r="B955" s="160" t="s">
        <v>638</v>
      </c>
      <c r="C955" s="158">
        <f>SUM(C941:C954)</f>
        <v>275790</v>
      </c>
      <c r="D955" s="158">
        <f>SUM(D941:D954)</f>
        <v>275790</v>
      </c>
      <c r="E955" s="52"/>
      <c r="G955" s="50"/>
      <c r="I955"/>
      <c r="J955"/>
      <c r="K955"/>
    </row>
    <row r="956" spans="10:11" ht="12.75">
      <c r="J956"/>
      <c r="K956"/>
    </row>
    <row r="957" ht="12.75">
      <c r="A957" s="48">
        <f>+A933</f>
        <v>0</v>
      </c>
    </row>
    <row r="958" spans="1:7" ht="12.75">
      <c r="A958" s="764" t="s">
        <v>383</v>
      </c>
      <c r="B958" s="764"/>
      <c r="C958" s="764"/>
      <c r="D958" s="764"/>
      <c r="E958" s="14"/>
      <c r="F958" s="14"/>
      <c r="G958" s="14"/>
    </row>
    <row r="959" spans="1:2" ht="12.75">
      <c r="A959" s="33" t="str">
        <f>+A935</f>
        <v>Juris.:</v>
      </c>
      <c r="B959" s="14" t="s">
        <v>86</v>
      </c>
    </row>
    <row r="960" spans="1:2" ht="12.75">
      <c r="A960" s="33" t="s">
        <v>1012</v>
      </c>
      <c r="B960" s="14"/>
    </row>
    <row r="962" spans="1:11" ht="12.75">
      <c r="A962" s="157" t="s">
        <v>621</v>
      </c>
      <c r="B962" s="157" t="s">
        <v>1001</v>
      </c>
      <c r="C962" s="157" t="s">
        <v>84</v>
      </c>
      <c r="D962" s="157" t="s">
        <v>1014</v>
      </c>
      <c r="E962" s="49"/>
      <c r="G962" s="50"/>
      <c r="I962"/>
      <c r="J962"/>
      <c r="K962"/>
    </row>
    <row r="963" spans="1:11" ht="12.75">
      <c r="A963" s="157"/>
      <c r="B963" s="157"/>
      <c r="C963" s="157" t="s">
        <v>95</v>
      </c>
      <c r="D963" s="157" t="s">
        <v>638</v>
      </c>
      <c r="E963" s="49"/>
      <c r="G963" s="51"/>
      <c r="I963"/>
      <c r="J963"/>
      <c r="K963"/>
    </row>
    <row r="964" spans="1:8" s="11" customFormat="1" ht="12.75">
      <c r="A964" s="49" t="s">
        <v>1000</v>
      </c>
      <c r="B964" s="49"/>
      <c r="C964" s="49"/>
      <c r="D964" s="49"/>
      <c r="E964" s="49"/>
      <c r="F964" s="48"/>
      <c r="G964" s="51"/>
      <c r="H964" s="18"/>
    </row>
    <row r="965" spans="1:11" ht="12.75">
      <c r="A965" s="193">
        <v>1</v>
      </c>
      <c r="B965" s="200" t="s">
        <v>834</v>
      </c>
      <c r="C965" s="258">
        <f>5030-800</f>
        <v>4230</v>
      </c>
      <c r="D965" s="158">
        <f aca="true" t="shared" si="43" ref="D965:D983">SUM(C965:C965)</f>
        <v>4230</v>
      </c>
      <c r="I965"/>
      <c r="J965"/>
      <c r="K965"/>
    </row>
    <row r="966" spans="1:11" ht="12.75">
      <c r="A966" s="193">
        <v>2</v>
      </c>
      <c r="B966" s="200" t="s">
        <v>835</v>
      </c>
      <c r="C966" s="258"/>
      <c r="D966" s="158">
        <f t="shared" si="43"/>
        <v>0</v>
      </c>
      <c r="I966"/>
      <c r="J966"/>
      <c r="K966"/>
    </row>
    <row r="967" spans="1:11" ht="12.75">
      <c r="A967" s="193">
        <v>3</v>
      </c>
      <c r="B967" s="200" t="s">
        <v>836</v>
      </c>
      <c r="C967" s="258"/>
      <c r="D967" s="158">
        <f t="shared" si="43"/>
        <v>0</v>
      </c>
      <c r="I967"/>
      <c r="J967"/>
      <c r="K967"/>
    </row>
    <row r="968" spans="1:11" ht="12.75">
      <c r="A968" s="193">
        <v>4</v>
      </c>
      <c r="B968" s="200" t="s">
        <v>837</v>
      </c>
      <c r="C968" s="258"/>
      <c r="D968" s="158">
        <f t="shared" si="43"/>
        <v>0</v>
      </c>
      <c r="I968"/>
      <c r="J968"/>
      <c r="K968"/>
    </row>
    <row r="969" spans="1:11" ht="12.75">
      <c r="A969" s="193">
        <v>5</v>
      </c>
      <c r="B969" s="200" t="s">
        <v>838</v>
      </c>
      <c r="C969" s="258">
        <f>4000-640</f>
        <v>3360</v>
      </c>
      <c r="D969" s="158">
        <f t="shared" si="43"/>
        <v>3360</v>
      </c>
      <c r="I969"/>
      <c r="J969"/>
      <c r="K969"/>
    </row>
    <row r="970" spans="1:11" ht="12.75">
      <c r="A970" s="193">
        <v>6</v>
      </c>
      <c r="B970" s="200" t="s">
        <v>839</v>
      </c>
      <c r="C970" s="258"/>
      <c r="D970" s="158">
        <f t="shared" si="43"/>
        <v>0</v>
      </c>
      <c r="I970"/>
      <c r="J970"/>
      <c r="K970"/>
    </row>
    <row r="971" spans="1:11" ht="12.75">
      <c r="A971" s="193">
        <v>7</v>
      </c>
      <c r="B971" s="200" t="s">
        <v>840</v>
      </c>
      <c r="C971" s="258"/>
      <c r="D971" s="158">
        <f t="shared" si="43"/>
        <v>0</v>
      </c>
      <c r="I971"/>
      <c r="J971"/>
      <c r="K971"/>
    </row>
    <row r="972" spans="1:11" ht="12.75">
      <c r="A972" s="193">
        <v>8</v>
      </c>
      <c r="B972" s="200" t="s">
        <v>842</v>
      </c>
      <c r="C972" s="258"/>
      <c r="D972" s="158">
        <f t="shared" si="43"/>
        <v>0</v>
      </c>
      <c r="I972"/>
      <c r="J972"/>
      <c r="K972"/>
    </row>
    <row r="973" spans="1:11" ht="12.75">
      <c r="A973" s="193">
        <v>9</v>
      </c>
      <c r="B973" s="200" t="s">
        <v>843</v>
      </c>
      <c r="C973" s="258">
        <f>2000-320</f>
        <v>1680</v>
      </c>
      <c r="D973" s="158">
        <f t="shared" si="43"/>
        <v>1680</v>
      </c>
      <c r="I973"/>
      <c r="J973"/>
      <c r="K973"/>
    </row>
    <row r="974" spans="1:11" ht="12.75">
      <c r="A974" s="193">
        <v>10</v>
      </c>
      <c r="B974" s="200" t="s">
        <v>844</v>
      </c>
      <c r="C974" s="258"/>
      <c r="D974" s="158">
        <f t="shared" si="43"/>
        <v>0</v>
      </c>
      <c r="I974"/>
      <c r="J974"/>
      <c r="K974"/>
    </row>
    <row r="975" spans="1:11" ht="12.75">
      <c r="A975" s="193">
        <v>11</v>
      </c>
      <c r="B975" s="200" t="s">
        <v>845</v>
      </c>
      <c r="C975" s="258">
        <f>2000-320</f>
        <v>1680</v>
      </c>
      <c r="D975" s="158">
        <f t="shared" si="43"/>
        <v>1680</v>
      </c>
      <c r="I975"/>
      <c r="J975"/>
      <c r="K975"/>
    </row>
    <row r="976" spans="1:11" ht="12.75">
      <c r="A976" s="193">
        <v>12</v>
      </c>
      <c r="B976" s="200" t="s">
        <v>846</v>
      </c>
      <c r="C976" s="258"/>
      <c r="D976" s="158">
        <f t="shared" si="43"/>
        <v>0</v>
      </c>
      <c r="I976"/>
      <c r="J976"/>
      <c r="K976"/>
    </row>
    <row r="977" spans="1:11" ht="12.75">
      <c r="A977" s="193">
        <v>13</v>
      </c>
      <c r="B977" s="200" t="s">
        <v>847</v>
      </c>
      <c r="C977" s="258">
        <f>1500-240</f>
        <v>1260</v>
      </c>
      <c r="D977" s="158">
        <f t="shared" si="43"/>
        <v>1260</v>
      </c>
      <c r="I977"/>
      <c r="J977"/>
      <c r="K977"/>
    </row>
    <row r="978" spans="1:11" ht="12.75">
      <c r="A978" s="193">
        <v>14</v>
      </c>
      <c r="B978" s="200" t="s">
        <v>848</v>
      </c>
      <c r="C978" s="258"/>
      <c r="D978" s="158">
        <f t="shared" si="43"/>
        <v>0</v>
      </c>
      <c r="I978"/>
      <c r="J978"/>
      <c r="K978"/>
    </row>
    <row r="979" spans="1:11" ht="12.75">
      <c r="A979" s="193">
        <v>15</v>
      </c>
      <c r="B979" s="200" t="s">
        <v>849</v>
      </c>
      <c r="C979" s="258">
        <f>8000-1280-4000</f>
        <v>2720</v>
      </c>
      <c r="D979" s="158">
        <f t="shared" si="43"/>
        <v>2720</v>
      </c>
      <c r="I979"/>
      <c r="J979"/>
      <c r="K979"/>
    </row>
    <row r="980" spans="1:11" ht="12.75">
      <c r="A980" s="193">
        <v>16</v>
      </c>
      <c r="B980" s="200" t="s">
        <v>850</v>
      </c>
      <c r="C980" s="258"/>
      <c r="D980" s="158">
        <f t="shared" si="43"/>
        <v>0</v>
      </c>
      <c r="I980"/>
      <c r="J980"/>
      <c r="K980"/>
    </row>
    <row r="981" spans="1:11" ht="12.75">
      <c r="A981" s="193">
        <v>17</v>
      </c>
      <c r="B981" s="200" t="s">
        <v>851</v>
      </c>
      <c r="C981" s="258"/>
      <c r="D981" s="158">
        <f t="shared" si="43"/>
        <v>0</v>
      </c>
      <c r="I981"/>
      <c r="J981"/>
      <c r="K981"/>
    </row>
    <row r="982" spans="1:11" ht="12.75">
      <c r="A982" s="193">
        <v>18</v>
      </c>
      <c r="B982" s="200" t="s">
        <v>852</v>
      </c>
      <c r="C982" s="258"/>
      <c r="D982" s="158">
        <f t="shared" si="43"/>
        <v>0</v>
      </c>
      <c r="I982"/>
      <c r="J982"/>
      <c r="K982"/>
    </row>
    <row r="983" spans="1:11" ht="12.75">
      <c r="A983" s="193">
        <v>19</v>
      </c>
      <c r="B983" s="200" t="s">
        <v>853</v>
      </c>
      <c r="C983" s="258"/>
      <c r="D983" s="158">
        <f t="shared" si="43"/>
        <v>0</v>
      </c>
      <c r="I983"/>
      <c r="J983"/>
      <c r="K983"/>
    </row>
    <row r="984" spans="1:11" ht="12.75">
      <c r="A984" s="159"/>
      <c r="B984" s="160" t="s">
        <v>638</v>
      </c>
      <c r="C984" s="158">
        <f>SUM(C965:C983)</f>
        <v>14930</v>
      </c>
      <c r="D984" s="158">
        <f>SUM(D965:D983)</f>
        <v>14930</v>
      </c>
      <c r="E984" s="52"/>
      <c r="G984" s="50"/>
      <c r="I984"/>
      <c r="J984"/>
      <c r="K984"/>
    </row>
    <row r="985" spans="9:11" ht="12.75">
      <c r="I985"/>
      <c r="J985"/>
      <c r="K985"/>
    </row>
    <row r="986" spans="1:11" ht="12.75">
      <c r="A986" s="157" t="s">
        <v>621</v>
      </c>
      <c r="B986" s="157" t="s">
        <v>990</v>
      </c>
      <c r="C986" s="157" t="s">
        <v>84</v>
      </c>
      <c r="D986" s="157" t="s">
        <v>1014</v>
      </c>
      <c r="E986" s="49"/>
      <c r="G986" s="50"/>
      <c r="I986"/>
      <c r="J986"/>
      <c r="K986"/>
    </row>
    <row r="987" spans="1:11" ht="12.75">
      <c r="A987" s="157"/>
      <c r="B987" s="157"/>
      <c r="C987" s="157" t="s">
        <v>95</v>
      </c>
      <c r="D987" s="157" t="s">
        <v>638</v>
      </c>
      <c r="E987" s="49"/>
      <c r="G987" s="51"/>
      <c r="I987"/>
      <c r="J987"/>
      <c r="K987"/>
    </row>
    <row r="988" spans="1:11" ht="12.75">
      <c r="A988" s="49" t="s">
        <v>1002</v>
      </c>
      <c r="I988"/>
      <c r="J988"/>
      <c r="K988"/>
    </row>
    <row r="989" spans="1:11" ht="12.75">
      <c r="A989" s="193">
        <v>1</v>
      </c>
      <c r="B989" s="200" t="s">
        <v>854</v>
      </c>
      <c r="C989" s="258"/>
      <c r="D989" s="158">
        <f aca="true" t="shared" si="44" ref="D989:D1010">SUM(C989:C989)</f>
        <v>0</v>
      </c>
      <c r="I989"/>
      <c r="J989"/>
      <c r="K989"/>
    </row>
    <row r="990" spans="1:11" ht="12.75">
      <c r="A990" s="193">
        <v>2</v>
      </c>
      <c r="B990" s="200" t="s">
        <v>855</v>
      </c>
      <c r="C990" s="258">
        <f>6750-1080</f>
        <v>5670</v>
      </c>
      <c r="D990" s="158">
        <f t="shared" si="44"/>
        <v>5670</v>
      </c>
      <c r="I990"/>
      <c r="J990"/>
      <c r="K990"/>
    </row>
    <row r="991" spans="1:11" ht="12.75">
      <c r="A991" s="193">
        <v>3</v>
      </c>
      <c r="B991" s="200" t="s">
        <v>856</v>
      </c>
      <c r="C991" s="258"/>
      <c r="D991" s="158">
        <f t="shared" si="44"/>
        <v>0</v>
      </c>
      <c r="I991"/>
      <c r="J991"/>
      <c r="K991"/>
    </row>
    <row r="992" spans="1:11" ht="12.75">
      <c r="A992" s="193">
        <v>4</v>
      </c>
      <c r="B992" s="200" t="s">
        <v>857</v>
      </c>
      <c r="C992" s="258"/>
      <c r="D992" s="158">
        <f t="shared" si="44"/>
        <v>0</v>
      </c>
      <c r="I992"/>
      <c r="J992"/>
      <c r="K992"/>
    </row>
    <row r="993" spans="1:11" ht="12.75">
      <c r="A993" s="193">
        <v>5</v>
      </c>
      <c r="B993" s="200" t="s">
        <v>858</v>
      </c>
      <c r="C993" s="258">
        <f>8520-1360</f>
        <v>7160</v>
      </c>
      <c r="D993" s="158">
        <f t="shared" si="44"/>
        <v>7160</v>
      </c>
      <c r="I993"/>
      <c r="J993"/>
      <c r="K993"/>
    </row>
    <row r="994" spans="1:11" ht="12.75">
      <c r="A994" s="193">
        <v>6</v>
      </c>
      <c r="B994" s="200" t="s">
        <v>859</v>
      </c>
      <c r="C994" s="258"/>
      <c r="D994" s="158">
        <f t="shared" si="44"/>
        <v>0</v>
      </c>
      <c r="I994"/>
      <c r="J994"/>
      <c r="K994"/>
    </row>
    <row r="995" spans="1:11" ht="12.75">
      <c r="A995" s="193">
        <v>7</v>
      </c>
      <c r="B995" s="200" t="s">
        <v>860</v>
      </c>
      <c r="C995" s="258">
        <f>30000-4800</f>
        <v>25200</v>
      </c>
      <c r="D995" s="158">
        <f t="shared" si="44"/>
        <v>25200</v>
      </c>
      <c r="I995"/>
      <c r="J995"/>
      <c r="K995"/>
    </row>
    <row r="996" spans="1:11" ht="12.75">
      <c r="A996" s="193">
        <v>8</v>
      </c>
      <c r="B996" s="200" t="s">
        <v>861</v>
      </c>
      <c r="C996" s="258">
        <f>12000-1920</f>
        <v>10080</v>
      </c>
      <c r="D996" s="158">
        <f t="shared" si="44"/>
        <v>10080</v>
      </c>
      <c r="I996"/>
      <c r="J996"/>
      <c r="K996"/>
    </row>
    <row r="997" spans="1:11" ht="12.75">
      <c r="A997" s="193">
        <v>9</v>
      </c>
      <c r="B997" s="200" t="s">
        <v>862</v>
      </c>
      <c r="C997" s="258">
        <f>10000-1600</f>
        <v>8400</v>
      </c>
      <c r="D997" s="158">
        <f t="shared" si="44"/>
        <v>8400</v>
      </c>
      <c r="I997"/>
      <c r="J997"/>
      <c r="K997"/>
    </row>
    <row r="998" spans="1:11" ht="12.75">
      <c r="A998" s="193">
        <v>10</v>
      </c>
      <c r="B998" s="200" t="s">
        <v>863</v>
      </c>
      <c r="C998" s="258">
        <f>7000-1120</f>
        <v>5880</v>
      </c>
      <c r="D998" s="158">
        <f t="shared" si="44"/>
        <v>5880</v>
      </c>
      <c r="I998"/>
      <c r="J998"/>
      <c r="K998"/>
    </row>
    <row r="999" spans="1:11" ht="12.75">
      <c r="A999" s="193">
        <v>11</v>
      </c>
      <c r="B999" s="200" t="s">
        <v>864</v>
      </c>
      <c r="C999" s="258"/>
      <c r="D999" s="158">
        <f t="shared" si="44"/>
        <v>0</v>
      </c>
      <c r="I999"/>
      <c r="J999"/>
      <c r="K999"/>
    </row>
    <row r="1000" spans="1:11" ht="12.75">
      <c r="A1000" s="193">
        <v>12</v>
      </c>
      <c r="B1000" s="200" t="s">
        <v>865</v>
      </c>
      <c r="C1000" s="258"/>
      <c r="D1000" s="158">
        <f t="shared" si="44"/>
        <v>0</v>
      </c>
      <c r="I1000"/>
      <c r="J1000"/>
      <c r="K1000"/>
    </row>
    <row r="1001" spans="1:11" ht="12.75">
      <c r="A1001" s="193">
        <v>13</v>
      </c>
      <c r="B1001" s="200" t="s">
        <v>866</v>
      </c>
      <c r="C1001" s="258"/>
      <c r="D1001" s="158">
        <f t="shared" si="44"/>
        <v>0</v>
      </c>
      <c r="I1001"/>
      <c r="J1001"/>
      <c r="K1001"/>
    </row>
    <row r="1002" spans="1:11" ht="12.75">
      <c r="A1002" s="193">
        <v>14</v>
      </c>
      <c r="B1002" s="200" t="s">
        <v>867</v>
      </c>
      <c r="C1002" s="258"/>
      <c r="D1002" s="158">
        <f t="shared" si="44"/>
        <v>0</v>
      </c>
      <c r="I1002"/>
      <c r="J1002"/>
      <c r="K1002"/>
    </row>
    <row r="1003" spans="1:11" ht="12.75">
      <c r="A1003" s="193">
        <v>15</v>
      </c>
      <c r="B1003" s="200" t="s">
        <v>868</v>
      </c>
      <c r="C1003" s="258"/>
      <c r="D1003" s="158">
        <f t="shared" si="44"/>
        <v>0</v>
      </c>
      <c r="I1003"/>
      <c r="J1003"/>
      <c r="K1003"/>
    </row>
    <row r="1004" spans="1:11" ht="12.75">
      <c r="A1004" s="193">
        <v>16</v>
      </c>
      <c r="B1004" s="200" t="s">
        <v>869</v>
      </c>
      <c r="C1004" s="258"/>
      <c r="D1004" s="158">
        <f t="shared" si="44"/>
        <v>0</v>
      </c>
      <c r="I1004"/>
      <c r="J1004"/>
      <c r="K1004"/>
    </row>
    <row r="1005" spans="1:11" ht="12.75">
      <c r="A1005" s="193">
        <v>17</v>
      </c>
      <c r="B1005" s="200" t="s">
        <v>870</v>
      </c>
      <c r="C1005" s="258">
        <f>25000-4000</f>
        <v>21000</v>
      </c>
      <c r="D1005" s="158">
        <f t="shared" si="44"/>
        <v>21000</v>
      </c>
      <c r="I1005"/>
      <c r="J1005"/>
      <c r="K1005"/>
    </row>
    <row r="1006" spans="1:11" ht="12.75">
      <c r="A1006" s="193">
        <v>18</v>
      </c>
      <c r="B1006" s="200" t="s">
        <v>871</v>
      </c>
      <c r="C1006" s="258"/>
      <c r="D1006" s="158">
        <f t="shared" si="44"/>
        <v>0</v>
      </c>
      <c r="I1006"/>
      <c r="J1006"/>
      <c r="K1006"/>
    </row>
    <row r="1007" spans="1:11" ht="12.75">
      <c r="A1007" s="193">
        <v>19</v>
      </c>
      <c r="B1007" s="200" t="s">
        <v>872</v>
      </c>
      <c r="C1007" s="258"/>
      <c r="D1007" s="158">
        <f t="shared" si="44"/>
        <v>0</v>
      </c>
      <c r="I1007"/>
      <c r="J1007"/>
      <c r="K1007"/>
    </row>
    <row r="1008" spans="1:11" ht="12.75">
      <c r="A1008" s="193">
        <v>20</v>
      </c>
      <c r="B1008" s="200" t="s">
        <v>873</v>
      </c>
      <c r="C1008" s="258">
        <f>25000-4000</f>
        <v>21000</v>
      </c>
      <c r="D1008" s="158">
        <f t="shared" si="44"/>
        <v>21000</v>
      </c>
      <c r="I1008"/>
      <c r="J1008"/>
      <c r="K1008"/>
    </row>
    <row r="1009" spans="1:11" ht="12.75">
      <c r="A1009" s="193">
        <v>21</v>
      </c>
      <c r="B1009" s="200" t="s">
        <v>874</v>
      </c>
      <c r="C1009" s="258">
        <f>15000-2400</f>
        <v>12600</v>
      </c>
      <c r="D1009" s="158">
        <f t="shared" si="44"/>
        <v>12600</v>
      </c>
      <c r="I1009"/>
      <c r="J1009"/>
      <c r="K1009"/>
    </row>
    <row r="1010" spans="1:11" ht="12.75">
      <c r="A1010" s="193" t="s">
        <v>106</v>
      </c>
      <c r="B1010" s="200" t="s">
        <v>117</v>
      </c>
      <c r="C1010" s="258">
        <f>108000-17280-28000</f>
        <v>62720</v>
      </c>
      <c r="D1010" s="158">
        <f t="shared" si="44"/>
        <v>62720</v>
      </c>
      <c r="I1010"/>
      <c r="J1010"/>
      <c r="K1010"/>
    </row>
    <row r="1011" spans="1:11" ht="12.75">
      <c r="A1011" s="159"/>
      <c r="B1011" s="160" t="s">
        <v>638</v>
      </c>
      <c r="C1011" s="158">
        <f>SUM(C989:C1010)</f>
        <v>179710</v>
      </c>
      <c r="D1011" s="158">
        <f>SUM(D989:D1010)</f>
        <v>179710</v>
      </c>
      <c r="E1011" s="52"/>
      <c r="G1011" s="50"/>
      <c r="I1011"/>
      <c r="J1011"/>
      <c r="K1011"/>
    </row>
    <row r="1013" spans="1:11" ht="12.75">
      <c r="A1013" s="157" t="s">
        <v>621</v>
      </c>
      <c r="B1013" s="157" t="s">
        <v>1016</v>
      </c>
      <c r="C1013" s="157" t="s">
        <v>84</v>
      </c>
      <c r="D1013" s="157" t="s">
        <v>1014</v>
      </c>
      <c r="E1013" s="49"/>
      <c r="G1013" s="50"/>
      <c r="I1013"/>
      <c r="J1013"/>
      <c r="K1013"/>
    </row>
    <row r="1014" spans="1:11" ht="12.75">
      <c r="A1014" s="157"/>
      <c r="B1014" s="157"/>
      <c r="C1014" s="157" t="s">
        <v>95</v>
      </c>
      <c r="D1014" s="157" t="s">
        <v>638</v>
      </c>
      <c r="E1014" s="49"/>
      <c r="G1014" s="51"/>
      <c r="I1014"/>
      <c r="J1014"/>
      <c r="K1014"/>
    </row>
    <row r="1015" spans="1:11" ht="12.75">
      <c r="A1015" s="49" t="s">
        <v>1003</v>
      </c>
      <c r="I1015"/>
      <c r="J1015"/>
      <c r="K1015"/>
    </row>
    <row r="1016" spans="1:11" ht="12.75">
      <c r="A1016" s="281">
        <v>1</v>
      </c>
      <c r="B1016" s="282" t="s">
        <v>875</v>
      </c>
      <c r="C1016" s="283">
        <v>7500</v>
      </c>
      <c r="D1016" s="158">
        <f aca="true" t="shared" si="45" ref="D1016:D1026">SUM(C1016:C1016)</f>
        <v>7500</v>
      </c>
      <c r="I1016"/>
      <c r="J1016"/>
      <c r="K1016"/>
    </row>
    <row r="1017" spans="1:11" ht="12.75">
      <c r="A1017" s="284">
        <v>2</v>
      </c>
      <c r="B1017" s="46" t="s">
        <v>876</v>
      </c>
      <c r="C1017" s="285">
        <f>10000-1600-3000</f>
        <v>5400</v>
      </c>
      <c r="D1017" s="158">
        <f t="shared" si="45"/>
        <v>5400</v>
      </c>
      <c r="I1017"/>
      <c r="J1017"/>
      <c r="K1017"/>
    </row>
    <row r="1018" spans="1:11" ht="12.75">
      <c r="A1018" s="284">
        <v>3</v>
      </c>
      <c r="B1018" s="46" t="s">
        <v>877</v>
      </c>
      <c r="C1018" s="285"/>
      <c r="D1018" s="158">
        <f t="shared" si="45"/>
        <v>0</v>
      </c>
      <c r="I1018"/>
      <c r="J1018"/>
      <c r="K1018"/>
    </row>
    <row r="1019" spans="1:11" ht="12.75">
      <c r="A1019" s="284">
        <v>4</v>
      </c>
      <c r="B1019" s="46" t="s">
        <v>878</v>
      </c>
      <c r="C1019" s="285">
        <v>1500</v>
      </c>
      <c r="D1019" s="158">
        <f t="shared" si="45"/>
        <v>1500</v>
      </c>
      <c r="I1019"/>
      <c r="J1019"/>
      <c r="K1019"/>
    </row>
    <row r="1020" spans="1:11" ht="12.75">
      <c r="A1020" s="284">
        <v>5</v>
      </c>
      <c r="B1020" s="46" t="s">
        <v>879</v>
      </c>
      <c r="C1020" s="285"/>
      <c r="D1020" s="158">
        <f t="shared" si="45"/>
        <v>0</v>
      </c>
      <c r="I1020"/>
      <c r="J1020"/>
      <c r="K1020"/>
    </row>
    <row r="1021" spans="1:11" ht="12.75">
      <c r="A1021" s="284">
        <v>6</v>
      </c>
      <c r="B1021" s="46" t="s">
        <v>880</v>
      </c>
      <c r="C1021" s="285"/>
      <c r="D1021" s="158">
        <f t="shared" si="45"/>
        <v>0</v>
      </c>
      <c r="I1021"/>
      <c r="J1021"/>
      <c r="K1021"/>
    </row>
    <row r="1022" spans="1:11" ht="12.75">
      <c r="A1022" s="284">
        <v>7</v>
      </c>
      <c r="B1022" s="46" t="s">
        <v>893</v>
      </c>
      <c r="C1022" s="285"/>
      <c r="D1022" s="158">
        <f t="shared" si="45"/>
        <v>0</v>
      </c>
      <c r="I1022"/>
      <c r="J1022"/>
      <c r="K1022"/>
    </row>
    <row r="1023" spans="1:11" ht="12.75">
      <c r="A1023" s="284">
        <v>8</v>
      </c>
      <c r="B1023" s="46" t="s">
        <v>894</v>
      </c>
      <c r="C1023" s="285">
        <f>10000-1600-2000</f>
        <v>6400</v>
      </c>
      <c r="D1023" s="158">
        <f t="shared" si="45"/>
        <v>6400</v>
      </c>
      <c r="I1023"/>
      <c r="J1023"/>
      <c r="K1023"/>
    </row>
    <row r="1024" spans="1:11" ht="12.75">
      <c r="A1024" s="284">
        <v>9</v>
      </c>
      <c r="B1024" s="46" t="s">
        <v>897</v>
      </c>
      <c r="C1024" s="285"/>
      <c r="D1024" s="158">
        <f t="shared" si="45"/>
        <v>0</v>
      </c>
      <c r="I1024"/>
      <c r="J1024"/>
      <c r="K1024"/>
    </row>
    <row r="1025" spans="1:11" ht="12.75">
      <c r="A1025" s="284">
        <v>10</v>
      </c>
      <c r="B1025" s="46" t="s">
        <v>895</v>
      </c>
      <c r="C1025" s="285">
        <f>10000-1600-1000</f>
        <v>7400</v>
      </c>
      <c r="D1025" s="158">
        <f t="shared" si="45"/>
        <v>7400</v>
      </c>
      <c r="I1025"/>
      <c r="J1025"/>
      <c r="K1025"/>
    </row>
    <row r="1026" spans="1:11" ht="12.75">
      <c r="A1026" s="193" t="s">
        <v>911</v>
      </c>
      <c r="B1026" s="200" t="s">
        <v>738</v>
      </c>
      <c r="C1026" s="286">
        <v>1700</v>
      </c>
      <c r="D1026" s="158">
        <f t="shared" si="45"/>
        <v>1700</v>
      </c>
      <c r="I1026"/>
      <c r="J1026"/>
      <c r="K1026"/>
    </row>
    <row r="1027" spans="1:11" ht="12.75">
      <c r="A1027" s="159"/>
      <c r="B1027" s="160" t="s">
        <v>638</v>
      </c>
      <c r="C1027" s="158">
        <f>SUM(C1016:C1026)</f>
        <v>29900</v>
      </c>
      <c r="D1027" s="158">
        <f>SUM(D1016:D1026)</f>
        <v>29900</v>
      </c>
      <c r="E1027" s="52"/>
      <c r="G1027" s="50"/>
      <c r="I1027"/>
      <c r="J1027"/>
      <c r="K1027"/>
    </row>
  </sheetData>
  <sheetProtection/>
  <mergeCells count="20">
    <mergeCell ref="A2:D2"/>
    <mergeCell ref="A46:F46"/>
    <mergeCell ref="A101:F101"/>
    <mergeCell ref="A122:D122"/>
    <mergeCell ref="A861:D861"/>
    <mergeCell ref="A722:D722"/>
    <mergeCell ref="A746:D746"/>
    <mergeCell ref="A222:D222"/>
    <mergeCell ref="A365:D365"/>
    <mergeCell ref="A166:D166"/>
    <mergeCell ref="A602:D602"/>
    <mergeCell ref="A243:D243"/>
    <mergeCell ref="A287:D287"/>
    <mergeCell ref="A409:D409"/>
    <mergeCell ref="A343:D343"/>
    <mergeCell ref="A958:D958"/>
    <mergeCell ref="A934:D934"/>
    <mergeCell ref="A645:D645"/>
    <mergeCell ref="A701:D701"/>
    <mergeCell ref="A818:D818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scale="50" r:id="rId3"/>
  <rowBreaks count="21" manualBreakCount="21">
    <brk id="44" max="255" man="1"/>
    <brk id="99" max="255" man="1"/>
    <brk id="119" max="255" man="1"/>
    <brk id="163" max="255" man="1"/>
    <brk id="219" max="13" man="1"/>
    <brk id="240" max="255" man="1"/>
    <brk id="284" max="13" man="1"/>
    <brk id="340" max="13" man="1"/>
    <brk id="362" max="13" man="1"/>
    <brk id="406" max="255" man="1"/>
    <brk id="483" max="255" man="1"/>
    <brk id="526" max="255" man="1"/>
    <brk id="599" max="13" man="1"/>
    <brk id="643" max="255" man="1"/>
    <brk id="699" max="255" man="1"/>
    <brk id="719" max="13" man="1"/>
    <brk id="743" max="13" man="1"/>
    <brk id="815" max="13" man="1"/>
    <brk id="858" max="13" man="1"/>
    <brk id="931" max="13" man="1"/>
    <brk id="956" max="1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zoomScaleSheetLayoutView="75" zoomScalePageLayoutView="0" workbookViewId="0" topLeftCell="A4">
      <selection activeCell="E13" sqref="E13"/>
    </sheetView>
  </sheetViews>
  <sheetFormatPr defaultColWidth="11.421875" defaultRowHeight="12.75"/>
  <cols>
    <col min="1" max="1" width="46.421875" style="0" customWidth="1"/>
    <col min="2" max="4" width="14.421875" style="0" customWidth="1"/>
    <col min="5" max="5" width="10.8515625" style="0" customWidth="1"/>
    <col min="6" max="6" width="12.28125" style="0" customWidth="1"/>
    <col min="7" max="7" width="14.28125" style="0" customWidth="1"/>
    <col min="8" max="9" width="10.8515625" style="0" customWidth="1"/>
  </cols>
  <sheetData>
    <row r="1" spans="1:9" ht="12.75">
      <c r="A1" s="54">
        <f>+ANEXO2!A1</f>
        <v>0</v>
      </c>
      <c r="B1" s="48"/>
      <c r="C1" s="48"/>
      <c r="D1" s="48"/>
      <c r="E1" s="48"/>
      <c r="F1" s="48"/>
      <c r="G1" s="48"/>
      <c r="H1" s="48"/>
      <c r="I1" s="48"/>
    </row>
    <row r="2" spans="1:8" ht="15">
      <c r="A2" s="761" t="s">
        <v>382</v>
      </c>
      <c r="B2" s="761"/>
      <c r="C2" s="761"/>
      <c r="D2" s="761"/>
      <c r="E2" s="761"/>
      <c r="F2" s="761"/>
      <c r="G2" s="761"/>
      <c r="H2" s="761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8" ht="12.75">
      <c r="A4" s="764" t="s">
        <v>636</v>
      </c>
      <c r="B4" s="764"/>
      <c r="C4" s="764"/>
      <c r="D4" s="764"/>
      <c r="E4" s="764"/>
      <c r="F4" s="764"/>
      <c r="G4" s="764"/>
      <c r="H4" s="764"/>
    </row>
    <row r="5" spans="1:8" ht="12.75">
      <c r="A5" s="764" t="s">
        <v>700</v>
      </c>
      <c r="B5" s="764"/>
      <c r="C5" s="764"/>
      <c r="D5" s="764"/>
      <c r="E5" s="764"/>
      <c r="F5" s="764"/>
      <c r="G5" s="764"/>
      <c r="H5" s="764"/>
    </row>
    <row r="6" spans="1:9" ht="13.5" thickBot="1">
      <c r="A6" s="48"/>
      <c r="B6" s="48"/>
      <c r="C6" s="48"/>
      <c r="D6" s="48"/>
      <c r="E6" s="48"/>
      <c r="F6" s="48"/>
      <c r="G6" s="48"/>
      <c r="H6" s="48"/>
      <c r="I6" s="48"/>
    </row>
    <row r="7" spans="1:9" ht="13.5" thickBot="1">
      <c r="A7" s="179" t="s">
        <v>536</v>
      </c>
      <c r="B7" s="242" t="s">
        <v>638</v>
      </c>
      <c r="C7" s="179" t="s">
        <v>695</v>
      </c>
      <c r="D7" s="179" t="s">
        <v>709</v>
      </c>
      <c r="E7" s="179" t="s">
        <v>701</v>
      </c>
      <c r="F7" s="179" t="s">
        <v>702</v>
      </c>
      <c r="G7" s="179" t="s">
        <v>703</v>
      </c>
      <c r="H7" s="179" t="s">
        <v>704</v>
      </c>
      <c r="I7" s="179" t="s">
        <v>155</v>
      </c>
    </row>
    <row r="8" spans="1:9" s="14" customFormat="1" ht="13.5" thickBot="1">
      <c r="A8" s="287"/>
      <c r="B8" s="36"/>
      <c r="C8" s="36">
        <v>311</v>
      </c>
      <c r="D8" s="36">
        <v>321</v>
      </c>
      <c r="E8" s="36">
        <v>331</v>
      </c>
      <c r="F8" s="36">
        <v>341</v>
      </c>
      <c r="G8" s="36">
        <v>351</v>
      </c>
      <c r="H8" s="36">
        <v>361</v>
      </c>
      <c r="I8" s="36" t="s">
        <v>841</v>
      </c>
    </row>
    <row r="9" spans="1:9" ht="13.5" thickBot="1">
      <c r="A9" s="185" t="s">
        <v>539</v>
      </c>
      <c r="B9" s="288">
        <f aca="true" t="shared" si="0" ref="B9:H9">+SUM(B11:B14)</f>
        <v>9230420</v>
      </c>
      <c r="C9" s="186">
        <f t="shared" si="0"/>
        <v>2285840</v>
      </c>
      <c r="D9" s="186">
        <f t="shared" si="0"/>
        <v>936780</v>
      </c>
      <c r="E9" s="186">
        <f t="shared" si="0"/>
        <v>1034100</v>
      </c>
      <c r="F9" s="186">
        <f t="shared" si="0"/>
        <v>848770</v>
      </c>
      <c r="G9" s="186">
        <f t="shared" si="0"/>
        <v>1420640</v>
      </c>
      <c r="H9" s="186">
        <f t="shared" si="0"/>
        <v>1838020</v>
      </c>
      <c r="I9" s="186">
        <f>+SUM(I11:I14)</f>
        <v>866270</v>
      </c>
    </row>
    <row r="10" spans="1:9" ht="12.75">
      <c r="A10" s="255"/>
      <c r="B10" s="289"/>
      <c r="C10" s="265"/>
      <c r="D10" s="265"/>
      <c r="E10" s="265"/>
      <c r="F10" s="265"/>
      <c r="G10" s="265"/>
      <c r="H10" s="265"/>
      <c r="I10" s="265"/>
    </row>
    <row r="11" spans="1:9" ht="12.75">
      <c r="A11" s="255" t="s">
        <v>644</v>
      </c>
      <c r="B11" s="290">
        <f>+SUM(C11:I11)</f>
        <v>4696130</v>
      </c>
      <c r="C11" s="263">
        <f>+'hac juris'!G8</f>
        <v>406930</v>
      </c>
      <c r="D11" s="263">
        <f>+'hac juris'!G37</f>
        <v>826180</v>
      </c>
      <c r="E11" s="263">
        <f>+'hac juris'!G65</f>
        <v>984510</v>
      </c>
      <c r="F11" s="263">
        <f>+'hac juris'!G93</f>
        <v>704940</v>
      </c>
      <c r="G11" s="263">
        <f>+'hac juris'!G121</f>
        <v>821880</v>
      </c>
      <c r="H11" s="263">
        <f>+'hac juris'!G149</f>
        <v>471660</v>
      </c>
      <c r="I11" s="263">
        <f>+'hac juris'!G177</f>
        <v>480030</v>
      </c>
    </row>
    <row r="12" spans="1:9" ht="12.75">
      <c r="A12" s="255" t="s">
        <v>645</v>
      </c>
      <c r="B12" s="290">
        <f>+SUM(C12:I12)</f>
        <v>357540</v>
      </c>
      <c r="C12" s="263">
        <f>+'hac juris'!G11</f>
        <v>1500</v>
      </c>
      <c r="D12" s="263">
        <f>+'hac juris'!G40</f>
        <v>3000</v>
      </c>
      <c r="E12" s="263">
        <f>+'hac juris'!G68</f>
        <v>7300</v>
      </c>
      <c r="F12" s="263">
        <f>+'hac juris'!G96</f>
        <v>17800</v>
      </c>
      <c r="G12" s="263">
        <f>+'hac juris'!G124</f>
        <v>1800</v>
      </c>
      <c r="H12" s="263">
        <f>+'hac juris'!G152</f>
        <v>209000</v>
      </c>
      <c r="I12" s="263">
        <f>+'hac juris'!G180</f>
        <v>117140</v>
      </c>
    </row>
    <row r="13" spans="1:9" ht="12.75">
      <c r="A13" s="255" t="s">
        <v>646</v>
      </c>
      <c r="B13" s="290">
        <f>+SUM(C13:I13)</f>
        <v>2342750</v>
      </c>
      <c r="C13" s="263">
        <f>+'hac juris'!G12</f>
        <v>43410</v>
      </c>
      <c r="D13" s="263">
        <f>+'hac juris'!G41</f>
        <v>107600</v>
      </c>
      <c r="E13" s="263">
        <f>+'hac juris'!G69</f>
        <v>42290</v>
      </c>
      <c r="F13" s="263">
        <f>+'hac juris'!G97</f>
        <v>126030</v>
      </c>
      <c r="G13" s="263">
        <f>+'hac juris'!G125</f>
        <v>596960</v>
      </c>
      <c r="H13" s="263">
        <f>+'hac juris'!G153</f>
        <v>1157360</v>
      </c>
      <c r="I13" s="263">
        <f>+'hac juris'!G181</f>
        <v>269100</v>
      </c>
    </row>
    <row r="14" spans="1:9" ht="12.75">
      <c r="A14" s="255" t="s">
        <v>647</v>
      </c>
      <c r="B14" s="290">
        <f>+SUM(C14:I14)</f>
        <v>1834000</v>
      </c>
      <c r="C14" s="263">
        <f>+'hac juris'!G13</f>
        <v>1834000</v>
      </c>
      <c r="D14" s="263"/>
      <c r="E14" s="263"/>
      <c r="F14" s="263"/>
      <c r="G14" s="263"/>
      <c r="H14" s="263"/>
      <c r="I14" s="263"/>
    </row>
    <row r="15" spans="1:9" ht="13.5" thickBot="1">
      <c r="A15" s="255"/>
      <c r="B15" s="291"/>
      <c r="C15" s="266"/>
      <c r="D15" s="266"/>
      <c r="E15" s="266"/>
      <c r="F15" s="266"/>
      <c r="G15" s="266"/>
      <c r="H15" s="266"/>
      <c r="I15" s="266"/>
    </row>
    <row r="16" spans="1:9" ht="13.5" thickBot="1">
      <c r="A16" s="185" t="s">
        <v>548</v>
      </c>
      <c r="B16" s="251">
        <f aca="true" t="shared" si="1" ref="B16:H16">+SUM(B18:B18)</f>
        <v>353990</v>
      </c>
      <c r="C16" s="186">
        <f t="shared" si="1"/>
        <v>0</v>
      </c>
      <c r="D16" s="186">
        <f t="shared" si="1"/>
        <v>43390</v>
      </c>
      <c r="E16" s="186">
        <f t="shared" si="1"/>
        <v>9960</v>
      </c>
      <c r="F16" s="186">
        <f t="shared" si="1"/>
        <v>1200</v>
      </c>
      <c r="G16" s="186">
        <f t="shared" si="1"/>
        <v>3000</v>
      </c>
      <c r="H16" s="186">
        <f t="shared" si="1"/>
        <v>250840</v>
      </c>
      <c r="I16" s="186">
        <f>+SUM(I18:I18)</f>
        <v>45600</v>
      </c>
    </row>
    <row r="17" spans="1:9" ht="12.75">
      <c r="A17" s="255"/>
      <c r="B17" s="291"/>
      <c r="C17" s="265"/>
      <c r="D17" s="265"/>
      <c r="E17" s="265"/>
      <c r="F17" s="265"/>
      <c r="G17" s="265"/>
      <c r="H17" s="265"/>
      <c r="I17" s="265"/>
    </row>
    <row r="18" spans="1:9" ht="12.75">
      <c r="A18" s="255" t="s">
        <v>649</v>
      </c>
      <c r="B18" s="290">
        <f>+SUM(C18:I18)</f>
        <v>353990</v>
      </c>
      <c r="C18" s="263">
        <f>+'hac juris'!G19</f>
        <v>0</v>
      </c>
      <c r="D18" s="263">
        <f>+'hac juris'!G48</f>
        <v>43390</v>
      </c>
      <c r="E18" s="263">
        <f>+'hac juris'!G76</f>
        <v>9960</v>
      </c>
      <c r="F18" s="263">
        <f>+'hac juris'!G104</f>
        <v>1200</v>
      </c>
      <c r="G18" s="263">
        <f>+'hac juris'!G132</f>
        <v>3000</v>
      </c>
      <c r="H18" s="263">
        <f>+'hac juris'!G160</f>
        <v>250840</v>
      </c>
      <c r="I18" s="263">
        <f>+'hac juris'!G188</f>
        <v>45600</v>
      </c>
    </row>
    <row r="19" spans="1:9" ht="13.5" thickBot="1">
      <c r="A19" s="255"/>
      <c r="B19" s="291"/>
      <c r="C19" s="266"/>
      <c r="D19" s="266"/>
      <c r="E19" s="266"/>
      <c r="F19" s="266"/>
      <c r="G19" s="266"/>
      <c r="H19" s="266"/>
      <c r="I19" s="266"/>
    </row>
    <row r="20" spans="1:9" ht="13.5" thickBot="1">
      <c r="A20" s="185" t="s">
        <v>553</v>
      </c>
      <c r="B20" s="251">
        <f aca="true" t="shared" si="2" ref="B20:H20">+SUM(B22:B23)</f>
        <v>3682780</v>
      </c>
      <c r="C20" s="186">
        <f t="shared" si="2"/>
        <v>3682780</v>
      </c>
      <c r="D20" s="186">
        <f t="shared" si="2"/>
        <v>0</v>
      </c>
      <c r="E20" s="186">
        <f t="shared" si="2"/>
        <v>0</v>
      </c>
      <c r="F20" s="186">
        <f t="shared" si="2"/>
        <v>0</v>
      </c>
      <c r="G20" s="186">
        <f t="shared" si="2"/>
        <v>0</v>
      </c>
      <c r="H20" s="186">
        <f t="shared" si="2"/>
        <v>0</v>
      </c>
      <c r="I20" s="186">
        <f>+SUM(I22:I23)</f>
        <v>0</v>
      </c>
    </row>
    <row r="21" spans="1:9" ht="12.75">
      <c r="A21" s="255"/>
      <c r="B21" s="291"/>
      <c r="C21" s="265"/>
      <c r="D21" s="265"/>
      <c r="E21" s="265"/>
      <c r="F21" s="265"/>
      <c r="G21" s="265"/>
      <c r="H21" s="265"/>
      <c r="I21" s="265"/>
    </row>
    <row r="22" spans="1:9" ht="12.75">
      <c r="A22" s="255" t="s">
        <v>652</v>
      </c>
      <c r="B22" s="290">
        <f>+SUM(C22:I22)</f>
        <v>3682780</v>
      </c>
      <c r="C22" s="263">
        <f>+'hac juris'!G25</f>
        <v>3682780</v>
      </c>
      <c r="D22" s="263"/>
      <c r="E22" s="263"/>
      <c r="F22" s="263"/>
      <c r="G22" s="263"/>
      <c r="H22" s="263"/>
      <c r="I22" s="263"/>
    </row>
    <row r="23" spans="1:9" ht="12.75">
      <c r="A23" s="255"/>
      <c r="B23" s="290"/>
      <c r="C23" s="263"/>
      <c r="D23" s="263"/>
      <c r="E23" s="263"/>
      <c r="F23" s="263"/>
      <c r="G23" s="263"/>
      <c r="H23" s="263"/>
      <c r="I23" s="263"/>
    </row>
    <row r="24" spans="1:9" ht="13.5" thickBot="1">
      <c r="A24" s="255"/>
      <c r="B24" s="291"/>
      <c r="C24" s="266"/>
      <c r="D24" s="266"/>
      <c r="E24" s="266"/>
      <c r="F24" s="266"/>
      <c r="G24" s="266"/>
      <c r="H24" s="266"/>
      <c r="I24" s="266"/>
    </row>
    <row r="25" spans="1:9" ht="13.5" thickBot="1">
      <c r="A25" s="185" t="s">
        <v>561</v>
      </c>
      <c r="B25" s="251">
        <f aca="true" t="shared" si="3" ref="B25:H25">+B9+B16+B20</f>
        <v>13267190</v>
      </c>
      <c r="C25" s="184">
        <f t="shared" si="3"/>
        <v>5968620</v>
      </c>
      <c r="D25" s="184">
        <f t="shared" si="3"/>
        <v>980170</v>
      </c>
      <c r="E25" s="184">
        <f t="shared" si="3"/>
        <v>1044060</v>
      </c>
      <c r="F25" s="184">
        <f t="shared" si="3"/>
        <v>849970</v>
      </c>
      <c r="G25" s="184">
        <f t="shared" si="3"/>
        <v>1423640</v>
      </c>
      <c r="H25" s="184">
        <f t="shared" si="3"/>
        <v>2088860</v>
      </c>
      <c r="I25" s="184">
        <f>+I9+I16+I20</f>
        <v>911870</v>
      </c>
    </row>
    <row r="26" ht="12.75">
      <c r="B26" s="13"/>
    </row>
    <row r="28" spans="2:9" ht="12.75">
      <c r="B28" s="3"/>
      <c r="C28" s="3"/>
      <c r="D28" s="3"/>
      <c r="E28" s="3"/>
      <c r="F28" s="3"/>
      <c r="G28" s="3"/>
      <c r="H28" s="3"/>
      <c r="I28" s="3"/>
    </row>
    <row r="29" spans="1:9" ht="12.75">
      <c r="A29" s="8"/>
      <c r="B29" s="4"/>
      <c r="C29" s="4"/>
      <c r="D29" s="4"/>
      <c r="E29" s="4"/>
      <c r="F29" s="4"/>
      <c r="G29" s="4"/>
      <c r="H29" s="4"/>
      <c r="I29" s="4"/>
    </row>
    <row r="30" spans="2:9" ht="12.75">
      <c r="B30" s="5"/>
      <c r="C30" s="5"/>
      <c r="D30" s="5"/>
      <c r="E30" s="5"/>
      <c r="F30" s="5"/>
      <c r="G30" s="5"/>
      <c r="H30" s="5"/>
      <c r="I30" s="5"/>
    </row>
  </sheetData>
  <sheetProtection/>
  <mergeCells count="3">
    <mergeCell ref="A2:H2"/>
    <mergeCell ref="A4:H4"/>
    <mergeCell ref="A5:H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8"/>
  <sheetViews>
    <sheetView zoomScale="75" zoomScaleNormal="75" zoomScaleSheetLayoutView="75" zoomScalePageLayoutView="0" workbookViewId="0" topLeftCell="A178">
      <selection activeCell="I183" sqref="I183"/>
    </sheetView>
  </sheetViews>
  <sheetFormatPr defaultColWidth="11.421875" defaultRowHeight="12.75"/>
  <cols>
    <col min="1" max="1" width="7.00390625" style="48" customWidth="1"/>
    <col min="2" max="2" width="6.421875" style="48" bestFit="1" customWidth="1"/>
    <col min="3" max="3" width="7.7109375" style="48" bestFit="1" customWidth="1"/>
    <col min="4" max="4" width="9.140625" style="48" bestFit="1" customWidth="1"/>
    <col min="5" max="5" width="7.57421875" style="48" bestFit="1" customWidth="1"/>
    <col min="6" max="6" width="39.421875" style="48" bestFit="1" customWidth="1"/>
    <col min="7" max="7" width="14.421875" style="48" bestFit="1" customWidth="1"/>
  </cols>
  <sheetData>
    <row r="1" spans="1:8" ht="15.75">
      <c r="A1" s="544"/>
      <c r="B1" s="544"/>
      <c r="C1" s="544"/>
      <c r="D1" s="544"/>
      <c r="E1" s="544"/>
      <c r="F1" s="69" t="s">
        <v>1139</v>
      </c>
      <c r="G1" s="544"/>
      <c r="H1" s="544"/>
    </row>
    <row r="2" spans="1:8" ht="15.75">
      <c r="A2" s="787" t="s">
        <v>382</v>
      </c>
      <c r="B2" s="787"/>
      <c r="C2" s="787"/>
      <c r="D2" s="787"/>
      <c r="E2" s="787"/>
      <c r="F2" s="787"/>
      <c r="G2" s="787"/>
      <c r="H2" s="544"/>
    </row>
    <row r="3" spans="1:8" ht="16.5" thickBot="1">
      <c r="A3" s="69" t="s">
        <v>705</v>
      </c>
      <c r="B3" s="544"/>
      <c r="C3" s="544"/>
      <c r="D3" s="544"/>
      <c r="E3" s="544"/>
      <c r="F3" s="544"/>
      <c r="G3" s="76">
        <v>311</v>
      </c>
      <c r="H3" s="544"/>
    </row>
    <row r="4" spans="1:8" ht="16.5" thickBot="1">
      <c r="A4" s="785" t="s">
        <v>621</v>
      </c>
      <c r="B4" s="786"/>
      <c r="C4" s="786"/>
      <c r="D4" s="786"/>
      <c r="E4" s="786"/>
      <c r="F4" s="698" t="s">
        <v>657</v>
      </c>
      <c r="G4" s="698" t="s">
        <v>658</v>
      </c>
      <c r="H4" s="544"/>
    </row>
    <row r="5" spans="1:8" ht="16.5" thickBot="1">
      <c r="A5" s="362" t="s">
        <v>659</v>
      </c>
      <c r="B5" s="362" t="s">
        <v>660</v>
      </c>
      <c r="C5" s="362" t="s">
        <v>661</v>
      </c>
      <c r="D5" s="362" t="s">
        <v>625</v>
      </c>
      <c r="E5" s="691" t="s">
        <v>662</v>
      </c>
      <c r="F5" s="699" t="s">
        <v>663</v>
      </c>
      <c r="G5" s="699"/>
      <c r="H5" s="544"/>
    </row>
    <row r="6" spans="1:8" ht="15.75">
      <c r="A6" s="700">
        <v>4</v>
      </c>
      <c r="B6" s="701"/>
      <c r="C6" s="701"/>
      <c r="D6" s="701"/>
      <c r="E6" s="702"/>
      <c r="F6" s="703" t="s">
        <v>539</v>
      </c>
      <c r="G6" s="704">
        <f>+G7+G13+G15</f>
        <v>2285840</v>
      </c>
      <c r="H6" s="544"/>
    </row>
    <row r="7" spans="1:8" ht="15.75">
      <c r="A7" s="705">
        <v>4</v>
      </c>
      <c r="B7" s="706">
        <v>1</v>
      </c>
      <c r="C7" s="706"/>
      <c r="D7" s="706"/>
      <c r="E7" s="707"/>
      <c r="F7" s="708" t="s">
        <v>664</v>
      </c>
      <c r="G7" s="709">
        <f>+G8+G11+G12</f>
        <v>451840</v>
      </c>
      <c r="H7" s="544"/>
    </row>
    <row r="8" spans="1:8" ht="15.75">
      <c r="A8" s="705">
        <v>4</v>
      </c>
      <c r="B8" s="706">
        <v>1</v>
      </c>
      <c r="C8" s="706">
        <v>1</v>
      </c>
      <c r="D8" s="706"/>
      <c r="E8" s="707"/>
      <c r="F8" s="708" t="s">
        <v>644</v>
      </c>
      <c r="G8" s="709">
        <f>+G9+G10</f>
        <v>406930</v>
      </c>
      <c r="H8" s="544"/>
    </row>
    <row r="9" spans="1:8" ht="15.75">
      <c r="A9" s="705">
        <v>4</v>
      </c>
      <c r="B9" s="706">
        <v>1</v>
      </c>
      <c r="C9" s="706">
        <v>1</v>
      </c>
      <c r="D9" s="706">
        <v>1</v>
      </c>
      <c r="E9" s="707"/>
      <c r="F9" s="708" t="s">
        <v>665</v>
      </c>
      <c r="G9" s="709">
        <f>+ANEXO4!C23</f>
        <v>406930</v>
      </c>
      <c r="H9" s="544"/>
    </row>
    <row r="10" spans="1:8" ht="15.75">
      <c r="A10" s="705">
        <v>4</v>
      </c>
      <c r="B10" s="706">
        <v>1</v>
      </c>
      <c r="C10" s="706">
        <v>1</v>
      </c>
      <c r="D10" s="706">
        <v>2</v>
      </c>
      <c r="E10" s="707"/>
      <c r="F10" s="708" t="s">
        <v>682</v>
      </c>
      <c r="G10" s="709">
        <v>0</v>
      </c>
      <c r="H10" s="544"/>
    </row>
    <row r="11" spans="1:8" ht="15.75">
      <c r="A11" s="705">
        <v>4</v>
      </c>
      <c r="B11" s="706">
        <v>1</v>
      </c>
      <c r="C11" s="706">
        <v>2</v>
      </c>
      <c r="D11" s="706"/>
      <c r="E11" s="707"/>
      <c r="F11" s="708" t="s">
        <v>645</v>
      </c>
      <c r="G11" s="709">
        <f>+ANEXO4!C71+ANEXO4!D71</f>
        <v>1500</v>
      </c>
      <c r="H11" s="544"/>
    </row>
    <row r="12" spans="1:8" ht="15.75">
      <c r="A12" s="705">
        <v>4</v>
      </c>
      <c r="B12" s="706">
        <v>1</v>
      </c>
      <c r="C12" s="706">
        <v>3</v>
      </c>
      <c r="D12" s="706"/>
      <c r="E12" s="707"/>
      <c r="F12" s="708" t="s">
        <v>646</v>
      </c>
      <c r="G12" s="709">
        <f>+ANEXO4!C98+ANEXO4!D98</f>
        <v>43410</v>
      </c>
      <c r="H12" s="544"/>
    </row>
    <row r="13" spans="1:8" ht="15.75">
      <c r="A13" s="705">
        <v>4</v>
      </c>
      <c r="B13" s="706">
        <v>2</v>
      </c>
      <c r="C13" s="706"/>
      <c r="D13" s="706"/>
      <c r="E13" s="707"/>
      <c r="F13" s="708" t="s">
        <v>683</v>
      </c>
      <c r="G13" s="709">
        <f>+G14</f>
        <v>1834000</v>
      </c>
      <c r="H13" s="544"/>
    </row>
    <row r="14" spans="1:8" ht="15.75">
      <c r="A14" s="705">
        <v>4</v>
      </c>
      <c r="B14" s="706">
        <v>2</v>
      </c>
      <c r="C14" s="706">
        <v>1</v>
      </c>
      <c r="D14" s="706"/>
      <c r="E14" s="707"/>
      <c r="F14" s="708" t="s">
        <v>684</v>
      </c>
      <c r="G14" s="710">
        <f>2334000-500000</f>
        <v>1834000</v>
      </c>
      <c r="H14" s="544"/>
    </row>
    <row r="15" spans="1:8" ht="15.75">
      <c r="A15" s="705">
        <v>4</v>
      </c>
      <c r="B15" s="706">
        <v>3</v>
      </c>
      <c r="C15" s="706"/>
      <c r="D15" s="706"/>
      <c r="E15" s="707"/>
      <c r="F15" s="708" t="s">
        <v>685</v>
      </c>
      <c r="G15" s="709">
        <f>+G16</f>
        <v>0</v>
      </c>
      <c r="H15" s="544"/>
    </row>
    <row r="16" spans="1:8" ht="15.75">
      <c r="A16" s="705">
        <v>4</v>
      </c>
      <c r="B16" s="706">
        <v>3</v>
      </c>
      <c r="C16" s="706">
        <v>1</v>
      </c>
      <c r="D16" s="706"/>
      <c r="E16" s="707"/>
      <c r="F16" s="708" t="s">
        <v>648</v>
      </c>
      <c r="G16" s="710"/>
      <c r="H16" s="544"/>
    </row>
    <row r="17" spans="1:8" ht="15.75">
      <c r="A17" s="711">
        <v>5</v>
      </c>
      <c r="B17" s="706"/>
      <c r="C17" s="706"/>
      <c r="D17" s="706"/>
      <c r="E17" s="707"/>
      <c r="F17" s="708" t="s">
        <v>548</v>
      </c>
      <c r="G17" s="709">
        <f>+G18+G21+G22</f>
        <v>0</v>
      </c>
      <c r="H17" s="544"/>
    </row>
    <row r="18" spans="1:8" ht="15.75">
      <c r="A18" s="705">
        <v>5</v>
      </c>
      <c r="B18" s="706">
        <v>1</v>
      </c>
      <c r="C18" s="706"/>
      <c r="D18" s="706"/>
      <c r="E18" s="707"/>
      <c r="F18" s="708" t="s">
        <v>686</v>
      </c>
      <c r="G18" s="709">
        <f>+G19+G20</f>
        <v>0</v>
      </c>
      <c r="H18" s="544"/>
    </row>
    <row r="19" spans="1:8" ht="15.75">
      <c r="A19" s="705">
        <v>5</v>
      </c>
      <c r="B19" s="706">
        <v>1</v>
      </c>
      <c r="C19" s="706">
        <v>1</v>
      </c>
      <c r="D19" s="706"/>
      <c r="E19" s="707"/>
      <c r="F19" s="708" t="s">
        <v>649</v>
      </c>
      <c r="G19" s="710">
        <f>+ANEXO4!C119+ANEXO4!D119</f>
        <v>0</v>
      </c>
      <c r="H19" s="544"/>
    </row>
    <row r="20" spans="1:8" ht="15.75">
      <c r="A20" s="705">
        <v>5</v>
      </c>
      <c r="B20" s="706">
        <v>1</v>
      </c>
      <c r="C20" s="706">
        <v>2</v>
      </c>
      <c r="D20" s="706"/>
      <c r="E20" s="706"/>
      <c r="F20" s="708" t="s">
        <v>650</v>
      </c>
      <c r="G20" s="710"/>
      <c r="H20" s="544"/>
    </row>
    <row r="21" spans="1:8" ht="15.75">
      <c r="A21" s="705">
        <v>5</v>
      </c>
      <c r="B21" s="706">
        <v>2</v>
      </c>
      <c r="C21" s="706"/>
      <c r="D21" s="706"/>
      <c r="E21" s="706"/>
      <c r="F21" s="708" t="s">
        <v>687</v>
      </c>
      <c r="G21" s="709">
        <v>0</v>
      </c>
      <c r="H21" s="544"/>
    </row>
    <row r="22" spans="1:8" ht="15.75">
      <c r="A22" s="705">
        <v>5</v>
      </c>
      <c r="B22" s="706">
        <v>3</v>
      </c>
      <c r="C22" s="706"/>
      <c r="D22" s="706"/>
      <c r="E22" s="706"/>
      <c r="F22" s="708" t="s">
        <v>688</v>
      </c>
      <c r="G22" s="709">
        <f>+G23</f>
        <v>0</v>
      </c>
      <c r="H22" s="544"/>
    </row>
    <row r="23" spans="1:8" ht="15.75">
      <c r="A23" s="705">
        <v>5</v>
      </c>
      <c r="B23" s="706">
        <v>3</v>
      </c>
      <c r="C23" s="706">
        <v>1</v>
      </c>
      <c r="D23" s="706"/>
      <c r="E23" s="706"/>
      <c r="F23" s="708" t="s">
        <v>651</v>
      </c>
      <c r="G23" s="710"/>
      <c r="H23" s="544"/>
    </row>
    <row r="24" spans="1:8" ht="15.75">
      <c r="A24" s="711">
        <v>6</v>
      </c>
      <c r="B24" s="706"/>
      <c r="C24" s="706"/>
      <c r="D24" s="706"/>
      <c r="E24" s="706"/>
      <c r="F24" s="708" t="s">
        <v>553</v>
      </c>
      <c r="G24" s="709">
        <f>+G25</f>
        <v>3682780</v>
      </c>
      <c r="H24" s="544"/>
    </row>
    <row r="25" spans="1:8" ht="15.75">
      <c r="A25" s="705">
        <v>6</v>
      </c>
      <c r="B25" s="706">
        <v>1</v>
      </c>
      <c r="C25" s="706"/>
      <c r="D25" s="706"/>
      <c r="E25" s="706"/>
      <c r="F25" s="708" t="s">
        <v>689</v>
      </c>
      <c r="G25" s="709">
        <f>+G26+G27</f>
        <v>3682780</v>
      </c>
      <c r="H25" s="544"/>
    </row>
    <row r="26" spans="1:8" ht="15.75">
      <c r="A26" s="705">
        <v>6</v>
      </c>
      <c r="B26" s="706">
        <v>1</v>
      </c>
      <c r="C26" s="706">
        <v>1</v>
      </c>
      <c r="D26" s="706">
        <v>1</v>
      </c>
      <c r="E26" s="706"/>
      <c r="F26" s="708" t="s">
        <v>707</v>
      </c>
      <c r="G26" s="710">
        <v>1546030</v>
      </c>
      <c r="H26" s="544"/>
    </row>
    <row r="27" spans="1:10" ht="16.5" thickBot="1">
      <c r="A27" s="712">
        <v>6</v>
      </c>
      <c r="B27" s="713">
        <v>1</v>
      </c>
      <c r="C27" s="713">
        <v>1</v>
      </c>
      <c r="D27" s="713">
        <v>2</v>
      </c>
      <c r="E27" s="713"/>
      <c r="F27" s="714" t="s">
        <v>706</v>
      </c>
      <c r="G27" s="715">
        <v>2136750</v>
      </c>
      <c r="H27" s="544"/>
      <c r="J27" s="9"/>
    </row>
    <row r="28" spans="1:8" ht="16.5" thickBot="1">
      <c r="A28" s="544"/>
      <c r="B28" s="544"/>
      <c r="C28" s="544"/>
      <c r="D28" s="544"/>
      <c r="E28" s="544"/>
      <c r="F28" s="699" t="s">
        <v>690</v>
      </c>
      <c r="G28" s="716">
        <f>+G6+G17+G24</f>
        <v>5968620</v>
      </c>
      <c r="H28" s="544"/>
    </row>
    <row r="29" spans="1:8" ht="15.75">
      <c r="A29" s="544"/>
      <c r="B29" s="544"/>
      <c r="C29" s="544"/>
      <c r="D29" s="544"/>
      <c r="E29" s="544"/>
      <c r="F29" s="717"/>
      <c r="G29" s="718"/>
      <c r="H29" s="544"/>
    </row>
    <row r="30" spans="1:8" ht="15.75">
      <c r="A30" s="544"/>
      <c r="B30" s="544"/>
      <c r="C30" s="544"/>
      <c r="D30" s="544"/>
      <c r="E30" s="544"/>
      <c r="F30" s="69" t="s">
        <v>1140</v>
      </c>
      <c r="G30" s="544"/>
      <c r="H30" s="544"/>
    </row>
    <row r="31" spans="1:8" ht="15.75">
      <c r="A31" s="783" t="str">
        <f>+A2</f>
        <v>PRESUPUESTO AÑO 2008</v>
      </c>
      <c r="B31" s="784"/>
      <c r="C31" s="784"/>
      <c r="D31" s="784"/>
      <c r="E31" s="784"/>
      <c r="F31" s="784"/>
      <c r="G31" s="784"/>
      <c r="H31" s="544"/>
    </row>
    <row r="32" spans="1:8" ht="16.5" thickBot="1">
      <c r="A32" s="69" t="s">
        <v>988</v>
      </c>
      <c r="B32" s="544"/>
      <c r="C32" s="544"/>
      <c r="D32" s="544"/>
      <c r="E32" s="544"/>
      <c r="F32" s="544"/>
      <c r="G32" s="76">
        <v>321</v>
      </c>
      <c r="H32" s="544"/>
    </row>
    <row r="33" spans="1:8" ht="16.5" thickBot="1">
      <c r="A33" s="785" t="s">
        <v>621</v>
      </c>
      <c r="B33" s="786"/>
      <c r="C33" s="786"/>
      <c r="D33" s="786"/>
      <c r="E33" s="786"/>
      <c r="F33" s="698" t="s">
        <v>657</v>
      </c>
      <c r="G33" s="698" t="s">
        <v>658</v>
      </c>
      <c r="H33" s="544"/>
    </row>
    <row r="34" spans="1:8" ht="16.5" thickBot="1">
      <c r="A34" s="362" t="s">
        <v>659</v>
      </c>
      <c r="B34" s="362" t="s">
        <v>660</v>
      </c>
      <c r="C34" s="362" t="s">
        <v>661</v>
      </c>
      <c r="D34" s="362" t="s">
        <v>625</v>
      </c>
      <c r="E34" s="691" t="s">
        <v>662</v>
      </c>
      <c r="F34" s="699" t="s">
        <v>663</v>
      </c>
      <c r="G34" s="699"/>
      <c r="H34" s="544"/>
    </row>
    <row r="35" spans="1:8" ht="15.75">
      <c r="A35" s="700">
        <v>4</v>
      </c>
      <c r="B35" s="701"/>
      <c r="C35" s="701"/>
      <c r="D35" s="701"/>
      <c r="E35" s="702"/>
      <c r="F35" s="703" t="s">
        <v>539</v>
      </c>
      <c r="G35" s="704">
        <f>+G36+G42+G44</f>
        <v>936780</v>
      </c>
      <c r="H35" s="544"/>
    </row>
    <row r="36" spans="1:8" ht="15.75">
      <c r="A36" s="705">
        <v>4</v>
      </c>
      <c r="B36" s="706">
        <v>1</v>
      </c>
      <c r="C36" s="706"/>
      <c r="D36" s="706"/>
      <c r="E36" s="707"/>
      <c r="F36" s="708" t="s">
        <v>664</v>
      </c>
      <c r="G36" s="709">
        <f>+G37+G40+G41</f>
        <v>936780</v>
      </c>
      <c r="H36" s="544"/>
    </row>
    <row r="37" spans="1:8" ht="15.75">
      <c r="A37" s="705">
        <v>4</v>
      </c>
      <c r="B37" s="706">
        <v>1</v>
      </c>
      <c r="C37" s="706">
        <v>1</v>
      </c>
      <c r="D37" s="706"/>
      <c r="E37" s="707"/>
      <c r="F37" s="708" t="s">
        <v>644</v>
      </c>
      <c r="G37" s="709">
        <f>+G38+G39</f>
        <v>826180</v>
      </c>
      <c r="H37" s="544"/>
    </row>
    <row r="38" spans="1:8" ht="15.75">
      <c r="A38" s="705">
        <v>4</v>
      </c>
      <c r="B38" s="706">
        <v>1</v>
      </c>
      <c r="C38" s="706">
        <v>1</v>
      </c>
      <c r="D38" s="706">
        <v>1</v>
      </c>
      <c r="E38" s="707"/>
      <c r="F38" s="708" t="s">
        <v>665</v>
      </c>
      <c r="G38" s="709">
        <f>+ANEXO4!D23</f>
        <v>826180</v>
      </c>
      <c r="H38" s="544"/>
    </row>
    <row r="39" spans="1:8" ht="15.75">
      <c r="A39" s="705">
        <v>4</v>
      </c>
      <c r="B39" s="706">
        <v>1</v>
      </c>
      <c r="C39" s="706">
        <v>1</v>
      </c>
      <c r="D39" s="706">
        <v>2</v>
      </c>
      <c r="E39" s="707"/>
      <c r="F39" s="708" t="s">
        <v>682</v>
      </c>
      <c r="G39" s="709">
        <v>0</v>
      </c>
      <c r="H39" s="544"/>
    </row>
    <row r="40" spans="1:8" ht="15.75">
      <c r="A40" s="705">
        <v>4</v>
      </c>
      <c r="B40" s="706">
        <v>1</v>
      </c>
      <c r="C40" s="706">
        <v>2</v>
      </c>
      <c r="D40" s="706"/>
      <c r="E40" s="707"/>
      <c r="F40" s="708" t="s">
        <v>645</v>
      </c>
      <c r="G40" s="709">
        <f>+ANEXO4!E$71</f>
        <v>3000</v>
      </c>
      <c r="H40" s="544"/>
    </row>
    <row r="41" spans="1:8" ht="15.75">
      <c r="A41" s="705">
        <v>4</v>
      </c>
      <c r="B41" s="706">
        <v>1</v>
      </c>
      <c r="C41" s="706">
        <v>3</v>
      </c>
      <c r="D41" s="706"/>
      <c r="E41" s="707"/>
      <c r="F41" s="708" t="s">
        <v>646</v>
      </c>
      <c r="G41" s="709">
        <f>+ANEXO4!E$98</f>
        <v>107600</v>
      </c>
      <c r="H41" s="544"/>
    </row>
    <row r="42" spans="1:8" ht="15.75">
      <c r="A42" s="705">
        <v>4</v>
      </c>
      <c r="B42" s="706">
        <v>2</v>
      </c>
      <c r="C42" s="706"/>
      <c r="D42" s="706"/>
      <c r="E42" s="707"/>
      <c r="F42" s="708" t="s">
        <v>683</v>
      </c>
      <c r="G42" s="709">
        <f>+G43</f>
        <v>0</v>
      </c>
      <c r="H42" s="544"/>
    </row>
    <row r="43" spans="1:8" ht="15.75">
      <c r="A43" s="705">
        <v>4</v>
      </c>
      <c r="B43" s="706">
        <v>2</v>
      </c>
      <c r="C43" s="706">
        <v>1</v>
      </c>
      <c r="D43" s="706"/>
      <c r="E43" s="707"/>
      <c r="F43" s="708" t="s">
        <v>684</v>
      </c>
      <c r="G43" s="710"/>
      <c r="H43" s="544"/>
    </row>
    <row r="44" spans="1:8" ht="15.75">
      <c r="A44" s="705">
        <v>4</v>
      </c>
      <c r="B44" s="706">
        <v>3</v>
      </c>
      <c r="C44" s="706"/>
      <c r="D44" s="706"/>
      <c r="E44" s="707"/>
      <c r="F44" s="708" t="s">
        <v>685</v>
      </c>
      <c r="G44" s="709">
        <f>+G45</f>
        <v>0</v>
      </c>
      <c r="H44" s="544"/>
    </row>
    <row r="45" spans="1:8" ht="15.75">
      <c r="A45" s="705">
        <v>4</v>
      </c>
      <c r="B45" s="706">
        <v>3</v>
      </c>
      <c r="C45" s="706">
        <v>1</v>
      </c>
      <c r="D45" s="706"/>
      <c r="E45" s="707"/>
      <c r="F45" s="708" t="s">
        <v>648</v>
      </c>
      <c r="G45" s="710"/>
      <c r="H45" s="544"/>
    </row>
    <row r="46" spans="1:8" ht="15.75">
      <c r="A46" s="711">
        <v>5</v>
      </c>
      <c r="B46" s="706"/>
      <c r="C46" s="706"/>
      <c r="D46" s="706"/>
      <c r="E46" s="707"/>
      <c r="F46" s="708" t="s">
        <v>548</v>
      </c>
      <c r="G46" s="709">
        <f>+G47+G50+G51</f>
        <v>43390</v>
      </c>
      <c r="H46" s="544"/>
    </row>
    <row r="47" spans="1:8" ht="15.75">
      <c r="A47" s="705">
        <v>5</v>
      </c>
      <c r="B47" s="706">
        <v>1</v>
      </c>
      <c r="C47" s="706"/>
      <c r="D47" s="706"/>
      <c r="E47" s="707"/>
      <c r="F47" s="708" t="s">
        <v>686</v>
      </c>
      <c r="G47" s="709">
        <f>+G48+G49</f>
        <v>43390</v>
      </c>
      <c r="H47" s="544"/>
    </row>
    <row r="48" spans="1:8" ht="15.75">
      <c r="A48" s="705">
        <v>5</v>
      </c>
      <c r="B48" s="706">
        <v>1</v>
      </c>
      <c r="C48" s="706">
        <v>1</v>
      </c>
      <c r="D48" s="706"/>
      <c r="E48" s="707"/>
      <c r="F48" s="708" t="s">
        <v>649</v>
      </c>
      <c r="G48" s="710">
        <f>+ANEXO4!E$119</f>
        <v>43390</v>
      </c>
      <c r="H48" s="544"/>
    </row>
    <row r="49" spans="1:8" ht="15.75">
      <c r="A49" s="705">
        <v>5</v>
      </c>
      <c r="B49" s="706">
        <v>1</v>
      </c>
      <c r="C49" s="706">
        <v>2</v>
      </c>
      <c r="D49" s="706"/>
      <c r="E49" s="706"/>
      <c r="F49" s="708" t="s">
        <v>650</v>
      </c>
      <c r="G49" s="710"/>
      <c r="H49" s="544"/>
    </row>
    <row r="50" spans="1:8" ht="15.75">
      <c r="A50" s="705">
        <v>5</v>
      </c>
      <c r="B50" s="706">
        <v>2</v>
      </c>
      <c r="C50" s="706"/>
      <c r="D50" s="706"/>
      <c r="E50" s="706"/>
      <c r="F50" s="708" t="s">
        <v>687</v>
      </c>
      <c r="G50" s="709">
        <v>0</v>
      </c>
      <c r="H50" s="544"/>
    </row>
    <row r="51" spans="1:8" ht="15.75">
      <c r="A51" s="705">
        <v>5</v>
      </c>
      <c r="B51" s="706">
        <v>3</v>
      </c>
      <c r="C51" s="706"/>
      <c r="D51" s="706"/>
      <c r="E51" s="706"/>
      <c r="F51" s="708" t="s">
        <v>688</v>
      </c>
      <c r="G51" s="709">
        <f>+G52</f>
        <v>0</v>
      </c>
      <c r="H51" s="544"/>
    </row>
    <row r="52" spans="1:8" ht="15.75">
      <c r="A52" s="705">
        <v>5</v>
      </c>
      <c r="B52" s="706">
        <v>3</v>
      </c>
      <c r="C52" s="706">
        <v>1</v>
      </c>
      <c r="D52" s="706"/>
      <c r="E52" s="706"/>
      <c r="F52" s="708" t="s">
        <v>651</v>
      </c>
      <c r="G52" s="710"/>
      <c r="H52" s="544"/>
    </row>
    <row r="53" spans="1:8" ht="15.75">
      <c r="A53" s="711">
        <v>6</v>
      </c>
      <c r="B53" s="706"/>
      <c r="C53" s="706"/>
      <c r="D53" s="706"/>
      <c r="E53" s="706"/>
      <c r="F53" s="708" t="s">
        <v>553</v>
      </c>
      <c r="G53" s="709">
        <f>+G54</f>
        <v>0</v>
      </c>
      <c r="H53" s="544"/>
    </row>
    <row r="54" spans="1:8" ht="15.75">
      <c r="A54" s="705">
        <v>6</v>
      </c>
      <c r="B54" s="706">
        <v>1</v>
      </c>
      <c r="C54" s="706"/>
      <c r="D54" s="706"/>
      <c r="E54" s="706"/>
      <c r="F54" s="708" t="s">
        <v>689</v>
      </c>
      <c r="G54" s="709">
        <f>+G55</f>
        <v>0</v>
      </c>
      <c r="H54" s="544"/>
    </row>
    <row r="55" spans="1:8" ht="16.5" thickBot="1">
      <c r="A55" s="712">
        <v>6</v>
      </c>
      <c r="B55" s="713">
        <v>1</v>
      </c>
      <c r="C55" s="713">
        <v>1</v>
      </c>
      <c r="D55" s="713"/>
      <c r="E55" s="713"/>
      <c r="F55" s="714" t="s">
        <v>652</v>
      </c>
      <c r="G55" s="715"/>
      <c r="H55" s="544"/>
    </row>
    <row r="56" spans="1:8" ht="16.5" thickBot="1">
      <c r="A56" s="544"/>
      <c r="B56" s="544"/>
      <c r="C56" s="544"/>
      <c r="D56" s="544"/>
      <c r="E56" s="544"/>
      <c r="F56" s="699" t="s">
        <v>690</v>
      </c>
      <c r="G56" s="716">
        <f>+G35+G46+G53</f>
        <v>980170</v>
      </c>
      <c r="H56" s="544"/>
    </row>
    <row r="57" spans="1:8" ht="15.75">
      <c r="A57" s="544"/>
      <c r="B57" s="544"/>
      <c r="C57" s="544"/>
      <c r="D57" s="544"/>
      <c r="E57" s="544"/>
      <c r="F57" s="717"/>
      <c r="G57" s="718"/>
      <c r="H57" s="544"/>
    </row>
    <row r="58" spans="1:8" ht="15.75">
      <c r="A58" s="544"/>
      <c r="B58" s="544"/>
      <c r="C58" s="544"/>
      <c r="D58" s="544"/>
      <c r="E58" s="544"/>
      <c r="F58" s="69" t="s">
        <v>1140</v>
      </c>
      <c r="G58" s="544"/>
      <c r="H58" s="544"/>
    </row>
    <row r="59" spans="1:8" ht="15.75">
      <c r="A59" s="783" t="str">
        <f>+A31</f>
        <v>PRESUPUESTO AÑO 2008</v>
      </c>
      <c r="B59" s="784"/>
      <c r="C59" s="784"/>
      <c r="D59" s="784"/>
      <c r="E59" s="784"/>
      <c r="F59" s="784"/>
      <c r="G59" s="784"/>
      <c r="H59" s="544"/>
    </row>
    <row r="60" spans="1:8" ht="16.5" thickBot="1">
      <c r="A60" s="69" t="s">
        <v>708</v>
      </c>
      <c r="B60" s="544"/>
      <c r="C60" s="544"/>
      <c r="D60" s="544"/>
      <c r="E60" s="544"/>
      <c r="F60" s="544"/>
      <c r="G60" s="76">
        <v>331</v>
      </c>
      <c r="H60" s="544"/>
    </row>
    <row r="61" spans="1:8" ht="16.5" thickBot="1">
      <c r="A61" s="785" t="s">
        <v>621</v>
      </c>
      <c r="B61" s="786"/>
      <c r="C61" s="786"/>
      <c r="D61" s="786"/>
      <c r="E61" s="786"/>
      <c r="F61" s="698" t="s">
        <v>657</v>
      </c>
      <c r="G61" s="698" t="s">
        <v>658</v>
      </c>
      <c r="H61" s="544"/>
    </row>
    <row r="62" spans="1:8" ht="16.5" thickBot="1">
      <c r="A62" s="362" t="s">
        <v>659</v>
      </c>
      <c r="B62" s="362" t="s">
        <v>660</v>
      </c>
      <c r="C62" s="362" t="s">
        <v>661</v>
      </c>
      <c r="D62" s="362" t="s">
        <v>625</v>
      </c>
      <c r="E62" s="691" t="s">
        <v>662</v>
      </c>
      <c r="F62" s="699" t="s">
        <v>663</v>
      </c>
      <c r="G62" s="699"/>
      <c r="H62" s="544"/>
    </row>
    <row r="63" spans="1:8" ht="15.75">
      <c r="A63" s="700">
        <v>4</v>
      </c>
      <c r="B63" s="701"/>
      <c r="C63" s="701"/>
      <c r="D63" s="701"/>
      <c r="E63" s="702"/>
      <c r="F63" s="703" t="s">
        <v>539</v>
      </c>
      <c r="G63" s="704">
        <f>+G64+G70+G72</f>
        <v>1034100</v>
      </c>
      <c r="H63" s="544"/>
    </row>
    <row r="64" spans="1:8" ht="15.75">
      <c r="A64" s="705">
        <v>4</v>
      </c>
      <c r="B64" s="706">
        <v>1</v>
      </c>
      <c r="C64" s="706"/>
      <c r="D64" s="706"/>
      <c r="E64" s="707"/>
      <c r="F64" s="708" t="s">
        <v>664</v>
      </c>
      <c r="G64" s="709">
        <f>+G65+G68+G69</f>
        <v>1034100</v>
      </c>
      <c r="H64" s="544"/>
    </row>
    <row r="65" spans="1:8" ht="15.75">
      <c r="A65" s="705">
        <v>4</v>
      </c>
      <c r="B65" s="706">
        <v>1</v>
      </c>
      <c r="C65" s="706">
        <v>1</v>
      </c>
      <c r="D65" s="706"/>
      <c r="E65" s="707"/>
      <c r="F65" s="708" t="s">
        <v>644</v>
      </c>
      <c r="G65" s="709">
        <f>+G66+G67</f>
        <v>984510</v>
      </c>
      <c r="H65" s="544"/>
    </row>
    <row r="66" spans="1:8" ht="15.75">
      <c r="A66" s="705">
        <v>4</v>
      </c>
      <c r="B66" s="706">
        <v>1</v>
      </c>
      <c r="C66" s="706">
        <v>1</v>
      </c>
      <c r="D66" s="706">
        <v>1</v>
      </c>
      <c r="E66" s="707"/>
      <c r="F66" s="708" t="s">
        <v>665</v>
      </c>
      <c r="G66" s="709">
        <f>+ANEXO4!E$23</f>
        <v>827080</v>
      </c>
      <c r="H66" s="544"/>
    </row>
    <row r="67" spans="1:8" ht="15.75">
      <c r="A67" s="705">
        <v>4</v>
      </c>
      <c r="B67" s="706">
        <v>1</v>
      </c>
      <c r="C67" s="706">
        <v>1</v>
      </c>
      <c r="D67" s="706">
        <v>2</v>
      </c>
      <c r="E67" s="707"/>
      <c r="F67" s="708" t="s">
        <v>682</v>
      </c>
      <c r="G67" s="709">
        <f>+ANEXO4!C$42</f>
        <v>157430</v>
      </c>
      <c r="H67" s="544"/>
    </row>
    <row r="68" spans="1:8" ht="15.75">
      <c r="A68" s="705">
        <v>4</v>
      </c>
      <c r="B68" s="706">
        <v>1</v>
      </c>
      <c r="C68" s="706">
        <v>2</v>
      </c>
      <c r="D68" s="706"/>
      <c r="E68" s="707"/>
      <c r="F68" s="708" t="s">
        <v>645</v>
      </c>
      <c r="G68" s="709">
        <f>+ANEXO4!F$71</f>
        <v>7300</v>
      </c>
      <c r="H68" s="544"/>
    </row>
    <row r="69" spans="1:8" ht="15.75">
      <c r="A69" s="705">
        <v>4</v>
      </c>
      <c r="B69" s="706">
        <v>1</v>
      </c>
      <c r="C69" s="706">
        <v>3</v>
      </c>
      <c r="D69" s="706"/>
      <c r="E69" s="707"/>
      <c r="F69" s="708" t="s">
        <v>646</v>
      </c>
      <c r="G69" s="709">
        <f>+ANEXO4!F$98</f>
        <v>42290</v>
      </c>
      <c r="H69" s="544"/>
    </row>
    <row r="70" spans="1:8" ht="15.75">
      <c r="A70" s="705">
        <v>4</v>
      </c>
      <c r="B70" s="706">
        <v>2</v>
      </c>
      <c r="C70" s="706"/>
      <c r="D70" s="706"/>
      <c r="E70" s="707"/>
      <c r="F70" s="708" t="s">
        <v>683</v>
      </c>
      <c r="G70" s="709">
        <f>+G71</f>
        <v>0</v>
      </c>
      <c r="H70" s="544"/>
    </row>
    <row r="71" spans="1:8" ht="15.75">
      <c r="A71" s="705">
        <v>4</v>
      </c>
      <c r="B71" s="706">
        <v>2</v>
      </c>
      <c r="C71" s="706">
        <v>1</v>
      </c>
      <c r="D71" s="706"/>
      <c r="E71" s="707"/>
      <c r="F71" s="708" t="s">
        <v>684</v>
      </c>
      <c r="G71" s="710">
        <v>0</v>
      </c>
      <c r="H71" s="544"/>
    </row>
    <row r="72" spans="1:8" ht="15.75">
      <c r="A72" s="705">
        <v>4</v>
      </c>
      <c r="B72" s="706">
        <v>3</v>
      </c>
      <c r="C72" s="706"/>
      <c r="D72" s="706"/>
      <c r="E72" s="707"/>
      <c r="F72" s="708" t="s">
        <v>685</v>
      </c>
      <c r="G72" s="709">
        <f>+G73</f>
        <v>0</v>
      </c>
      <c r="H72" s="544"/>
    </row>
    <row r="73" spans="1:8" ht="15.75">
      <c r="A73" s="705">
        <v>4</v>
      </c>
      <c r="B73" s="706">
        <v>3</v>
      </c>
      <c r="C73" s="706">
        <v>1</v>
      </c>
      <c r="D73" s="706"/>
      <c r="E73" s="707"/>
      <c r="F73" s="708" t="s">
        <v>648</v>
      </c>
      <c r="G73" s="710"/>
      <c r="H73" s="544"/>
    </row>
    <row r="74" spans="1:8" ht="15.75">
      <c r="A74" s="711">
        <v>5</v>
      </c>
      <c r="B74" s="706"/>
      <c r="C74" s="706"/>
      <c r="D74" s="706"/>
      <c r="E74" s="707"/>
      <c r="F74" s="708" t="s">
        <v>548</v>
      </c>
      <c r="G74" s="709">
        <f>+G75+G78+G79</f>
        <v>9960</v>
      </c>
      <c r="H74" s="544"/>
    </row>
    <row r="75" spans="1:8" ht="15.75">
      <c r="A75" s="705">
        <v>5</v>
      </c>
      <c r="B75" s="706">
        <v>1</v>
      </c>
      <c r="C75" s="706"/>
      <c r="D75" s="706"/>
      <c r="E75" s="707"/>
      <c r="F75" s="708" t="s">
        <v>686</v>
      </c>
      <c r="G75" s="709">
        <f>+G76+G77</f>
        <v>9960</v>
      </c>
      <c r="H75" s="544"/>
    </row>
    <row r="76" spans="1:8" ht="15.75">
      <c r="A76" s="705">
        <v>5</v>
      </c>
      <c r="B76" s="706">
        <v>1</v>
      </c>
      <c r="C76" s="706">
        <v>1</v>
      </c>
      <c r="D76" s="706"/>
      <c r="E76" s="707"/>
      <c r="F76" s="708" t="s">
        <v>649</v>
      </c>
      <c r="G76" s="710">
        <f>+ANEXO4!F$119</f>
        <v>9960</v>
      </c>
      <c r="H76" s="544"/>
    </row>
    <row r="77" spans="1:8" ht="15.75">
      <c r="A77" s="705">
        <v>5</v>
      </c>
      <c r="B77" s="706">
        <v>1</v>
      </c>
      <c r="C77" s="706">
        <v>2</v>
      </c>
      <c r="D77" s="706"/>
      <c r="E77" s="706"/>
      <c r="F77" s="708" t="s">
        <v>650</v>
      </c>
      <c r="G77" s="710"/>
      <c r="H77" s="544"/>
    </row>
    <row r="78" spans="1:8" ht="15.75">
      <c r="A78" s="705">
        <v>5</v>
      </c>
      <c r="B78" s="706">
        <v>2</v>
      </c>
      <c r="C78" s="706"/>
      <c r="D78" s="706"/>
      <c r="E78" s="706"/>
      <c r="F78" s="708" t="s">
        <v>687</v>
      </c>
      <c r="G78" s="709">
        <v>0</v>
      </c>
      <c r="H78" s="544"/>
    </row>
    <row r="79" spans="1:8" ht="15.75">
      <c r="A79" s="705">
        <v>5</v>
      </c>
      <c r="B79" s="706">
        <v>3</v>
      </c>
      <c r="C79" s="706"/>
      <c r="D79" s="706"/>
      <c r="E79" s="706"/>
      <c r="F79" s="708" t="s">
        <v>688</v>
      </c>
      <c r="G79" s="709">
        <f>+G80</f>
        <v>0</v>
      </c>
      <c r="H79" s="544"/>
    </row>
    <row r="80" spans="1:8" ht="15.75">
      <c r="A80" s="705">
        <v>5</v>
      </c>
      <c r="B80" s="706">
        <v>3</v>
      </c>
      <c r="C80" s="706">
        <v>1</v>
      </c>
      <c r="D80" s="706"/>
      <c r="E80" s="706"/>
      <c r="F80" s="708" t="s">
        <v>651</v>
      </c>
      <c r="G80" s="710"/>
      <c r="H80" s="544"/>
    </row>
    <row r="81" spans="1:8" ht="15.75">
      <c r="A81" s="711">
        <v>6</v>
      </c>
      <c r="B81" s="706"/>
      <c r="C81" s="706"/>
      <c r="D81" s="706"/>
      <c r="E81" s="706"/>
      <c r="F81" s="708" t="s">
        <v>553</v>
      </c>
      <c r="G81" s="709">
        <f>+G82</f>
        <v>0</v>
      </c>
      <c r="H81" s="544"/>
    </row>
    <row r="82" spans="1:8" ht="15.75">
      <c r="A82" s="705">
        <v>6</v>
      </c>
      <c r="B82" s="706">
        <v>1</v>
      </c>
      <c r="C82" s="706"/>
      <c r="D82" s="706"/>
      <c r="E82" s="706"/>
      <c r="F82" s="708" t="s">
        <v>689</v>
      </c>
      <c r="G82" s="709">
        <f>+G83</f>
        <v>0</v>
      </c>
      <c r="H82" s="544"/>
    </row>
    <row r="83" spans="1:8" ht="16.5" thickBot="1">
      <c r="A83" s="712">
        <v>6</v>
      </c>
      <c r="B83" s="713">
        <v>1</v>
      </c>
      <c r="C83" s="713">
        <v>1</v>
      </c>
      <c r="D83" s="713"/>
      <c r="E83" s="713"/>
      <c r="F83" s="714" t="s">
        <v>652</v>
      </c>
      <c r="G83" s="715">
        <v>0</v>
      </c>
      <c r="H83" s="544"/>
    </row>
    <row r="84" spans="1:8" ht="16.5" thickBot="1">
      <c r="A84" s="544"/>
      <c r="B84" s="544"/>
      <c r="C84" s="544"/>
      <c r="D84" s="544"/>
      <c r="E84" s="544"/>
      <c r="F84" s="699" t="s">
        <v>690</v>
      </c>
      <c r="G84" s="716">
        <f>+G63+G74+G81</f>
        <v>1044060</v>
      </c>
      <c r="H84" s="544"/>
    </row>
    <row r="85" spans="1:8" ht="15">
      <c r="A85" s="544"/>
      <c r="B85" s="544"/>
      <c r="C85" s="544"/>
      <c r="D85" s="544"/>
      <c r="E85" s="544"/>
      <c r="F85" s="544"/>
      <c r="G85" s="544"/>
      <c r="H85" s="544"/>
    </row>
    <row r="86" spans="1:8" ht="15.75">
      <c r="A86" s="544"/>
      <c r="B86" s="544"/>
      <c r="C86" s="544"/>
      <c r="D86" s="544"/>
      <c r="E86" s="544"/>
      <c r="F86" s="69" t="s">
        <v>1139</v>
      </c>
      <c r="G86" s="544"/>
      <c r="H86" s="544"/>
    </row>
    <row r="87" spans="1:8" ht="15.75">
      <c r="A87" s="783" t="str">
        <f>+A59</f>
        <v>PRESUPUESTO AÑO 2008</v>
      </c>
      <c r="B87" s="784"/>
      <c r="C87" s="784"/>
      <c r="D87" s="784"/>
      <c r="E87" s="784"/>
      <c r="F87" s="784"/>
      <c r="G87" s="784"/>
      <c r="H87" s="544"/>
    </row>
    <row r="88" spans="1:8" ht="16.5" thickBot="1">
      <c r="A88" s="69" t="s">
        <v>96</v>
      </c>
      <c r="B88" s="544"/>
      <c r="C88" s="544"/>
      <c r="D88" s="544"/>
      <c r="E88" s="544"/>
      <c r="F88" s="544"/>
      <c r="G88" s="76">
        <v>341</v>
      </c>
      <c r="H88" s="544"/>
    </row>
    <row r="89" spans="1:8" ht="16.5" thickBot="1">
      <c r="A89" s="785" t="s">
        <v>621</v>
      </c>
      <c r="B89" s="786"/>
      <c r="C89" s="786"/>
      <c r="D89" s="786"/>
      <c r="E89" s="786"/>
      <c r="F89" s="698" t="s">
        <v>657</v>
      </c>
      <c r="G89" s="698" t="s">
        <v>658</v>
      </c>
      <c r="H89" s="544"/>
    </row>
    <row r="90" spans="1:8" ht="16.5" thickBot="1">
      <c r="A90" s="362" t="s">
        <v>659</v>
      </c>
      <c r="B90" s="362" t="s">
        <v>660</v>
      </c>
      <c r="C90" s="362" t="s">
        <v>661</v>
      </c>
      <c r="D90" s="362" t="s">
        <v>625</v>
      </c>
      <c r="E90" s="691" t="s">
        <v>662</v>
      </c>
      <c r="F90" s="699" t="s">
        <v>663</v>
      </c>
      <c r="G90" s="699"/>
      <c r="H90" s="544"/>
    </row>
    <row r="91" spans="1:8" ht="15.75">
      <c r="A91" s="700">
        <v>4</v>
      </c>
      <c r="B91" s="701"/>
      <c r="C91" s="701"/>
      <c r="D91" s="701"/>
      <c r="E91" s="702"/>
      <c r="F91" s="703" t="s">
        <v>539</v>
      </c>
      <c r="G91" s="704">
        <f>+G92+G98+G100</f>
        <v>848770</v>
      </c>
      <c r="H91" s="544"/>
    </row>
    <row r="92" spans="1:8" ht="15.75">
      <c r="A92" s="705">
        <v>4</v>
      </c>
      <c r="B92" s="706">
        <v>1</v>
      </c>
      <c r="C92" s="706"/>
      <c r="D92" s="706"/>
      <c r="E92" s="707"/>
      <c r="F92" s="708" t="s">
        <v>664</v>
      </c>
      <c r="G92" s="709">
        <f>+G93+G96+G97</f>
        <v>848770</v>
      </c>
      <c r="H92" s="544"/>
    </row>
    <row r="93" spans="1:8" ht="15.75">
      <c r="A93" s="705">
        <v>4</v>
      </c>
      <c r="B93" s="706">
        <v>1</v>
      </c>
      <c r="C93" s="706">
        <v>1</v>
      </c>
      <c r="D93" s="706"/>
      <c r="E93" s="707"/>
      <c r="F93" s="708" t="s">
        <v>644</v>
      </c>
      <c r="G93" s="709">
        <f>+G94+G95</f>
        <v>704940</v>
      </c>
      <c r="H93" s="544"/>
    </row>
    <row r="94" spans="1:8" ht="15.75">
      <c r="A94" s="705">
        <v>4</v>
      </c>
      <c r="B94" s="706">
        <v>1</v>
      </c>
      <c r="C94" s="706">
        <v>1</v>
      </c>
      <c r="D94" s="706">
        <v>1</v>
      </c>
      <c r="E94" s="707"/>
      <c r="F94" s="708" t="s">
        <v>665</v>
      </c>
      <c r="G94" s="709">
        <f>+ANEXO4!F$23</f>
        <v>691000</v>
      </c>
      <c r="H94" s="544"/>
    </row>
    <row r="95" spans="1:8" ht="15.75">
      <c r="A95" s="705">
        <v>4</v>
      </c>
      <c r="B95" s="706">
        <v>1</v>
      </c>
      <c r="C95" s="706">
        <v>1</v>
      </c>
      <c r="D95" s="706">
        <v>2</v>
      </c>
      <c r="E95" s="707"/>
      <c r="F95" s="708" t="s">
        <v>682</v>
      </c>
      <c r="G95" s="709">
        <f>+ANEXO4!D$42</f>
        <v>13940</v>
      </c>
      <c r="H95" s="544"/>
    </row>
    <row r="96" spans="1:8" ht="15.75">
      <c r="A96" s="705">
        <v>4</v>
      </c>
      <c r="B96" s="706">
        <v>1</v>
      </c>
      <c r="C96" s="706">
        <v>2</v>
      </c>
      <c r="D96" s="706"/>
      <c r="E96" s="707"/>
      <c r="F96" s="708" t="s">
        <v>645</v>
      </c>
      <c r="G96" s="709">
        <f>+ANEXO4!G$71</f>
        <v>17800</v>
      </c>
      <c r="H96" s="544"/>
    </row>
    <row r="97" spans="1:8" ht="15.75">
      <c r="A97" s="705">
        <v>4</v>
      </c>
      <c r="B97" s="706">
        <v>1</v>
      </c>
      <c r="C97" s="706">
        <v>3</v>
      </c>
      <c r="D97" s="706"/>
      <c r="E97" s="707"/>
      <c r="F97" s="708" t="s">
        <v>646</v>
      </c>
      <c r="G97" s="709">
        <f>+ANEXO4!G$98</f>
        <v>126030</v>
      </c>
      <c r="H97" s="544"/>
    </row>
    <row r="98" spans="1:8" ht="15.75">
      <c r="A98" s="705">
        <v>4</v>
      </c>
      <c r="B98" s="706">
        <v>2</v>
      </c>
      <c r="C98" s="706"/>
      <c r="D98" s="706"/>
      <c r="E98" s="707"/>
      <c r="F98" s="708" t="s">
        <v>683</v>
      </c>
      <c r="G98" s="709">
        <f>+G99</f>
        <v>0</v>
      </c>
      <c r="H98" s="544"/>
    </row>
    <row r="99" spans="1:8" ht="15.75">
      <c r="A99" s="705">
        <v>4</v>
      </c>
      <c r="B99" s="706">
        <v>2</v>
      </c>
      <c r="C99" s="706">
        <v>1</v>
      </c>
      <c r="D99" s="706"/>
      <c r="E99" s="707"/>
      <c r="F99" s="708" t="s">
        <v>684</v>
      </c>
      <c r="G99" s="710">
        <v>0</v>
      </c>
      <c r="H99" s="544"/>
    </row>
    <row r="100" spans="1:8" ht="15.75">
      <c r="A100" s="705">
        <v>4</v>
      </c>
      <c r="B100" s="706">
        <v>3</v>
      </c>
      <c r="C100" s="706"/>
      <c r="D100" s="706"/>
      <c r="E100" s="707"/>
      <c r="F100" s="708" t="s">
        <v>685</v>
      </c>
      <c r="G100" s="709">
        <f>+G101</f>
        <v>0</v>
      </c>
      <c r="H100" s="544"/>
    </row>
    <row r="101" spans="1:8" ht="15.75">
      <c r="A101" s="705">
        <v>4</v>
      </c>
      <c r="B101" s="706">
        <v>3</v>
      </c>
      <c r="C101" s="706">
        <v>1</v>
      </c>
      <c r="D101" s="706"/>
      <c r="E101" s="707"/>
      <c r="F101" s="708" t="s">
        <v>648</v>
      </c>
      <c r="G101" s="710"/>
      <c r="H101" s="544"/>
    </row>
    <row r="102" spans="1:8" ht="15.75">
      <c r="A102" s="711">
        <v>5</v>
      </c>
      <c r="B102" s="706"/>
      <c r="C102" s="706"/>
      <c r="D102" s="706"/>
      <c r="E102" s="707"/>
      <c r="F102" s="708" t="s">
        <v>548</v>
      </c>
      <c r="G102" s="709">
        <f>+G103+G106+G107</f>
        <v>1200</v>
      </c>
      <c r="H102" s="544"/>
    </row>
    <row r="103" spans="1:8" ht="15.75">
      <c r="A103" s="705">
        <v>5</v>
      </c>
      <c r="B103" s="706">
        <v>1</v>
      </c>
      <c r="C103" s="706"/>
      <c r="D103" s="706"/>
      <c r="E103" s="707"/>
      <c r="F103" s="708" t="s">
        <v>686</v>
      </c>
      <c r="G103" s="709">
        <f>+G104+G105</f>
        <v>1200</v>
      </c>
      <c r="H103" s="544"/>
    </row>
    <row r="104" spans="1:8" ht="15.75">
      <c r="A104" s="705">
        <v>5</v>
      </c>
      <c r="B104" s="706">
        <v>1</v>
      </c>
      <c r="C104" s="706">
        <v>1</v>
      </c>
      <c r="D104" s="706"/>
      <c r="E104" s="707"/>
      <c r="F104" s="708" t="s">
        <v>649</v>
      </c>
      <c r="G104" s="710">
        <f>+ANEXO4!G$119</f>
        <v>1200</v>
      </c>
      <c r="H104" s="544"/>
    </row>
    <row r="105" spans="1:8" ht="15.75">
      <c r="A105" s="705">
        <v>5</v>
      </c>
      <c r="B105" s="706">
        <v>1</v>
      </c>
      <c r="C105" s="706">
        <v>2</v>
      </c>
      <c r="D105" s="706"/>
      <c r="E105" s="706"/>
      <c r="F105" s="708" t="s">
        <v>650</v>
      </c>
      <c r="G105" s="710"/>
      <c r="H105" s="544"/>
    </row>
    <row r="106" spans="1:8" ht="15.75">
      <c r="A106" s="705">
        <v>5</v>
      </c>
      <c r="B106" s="706">
        <v>2</v>
      </c>
      <c r="C106" s="706"/>
      <c r="D106" s="706"/>
      <c r="E106" s="706"/>
      <c r="F106" s="708" t="s">
        <v>687</v>
      </c>
      <c r="G106" s="709">
        <v>0</v>
      </c>
      <c r="H106" s="544"/>
    </row>
    <row r="107" spans="1:8" ht="15.75">
      <c r="A107" s="705">
        <v>5</v>
      </c>
      <c r="B107" s="706">
        <v>3</v>
      </c>
      <c r="C107" s="706"/>
      <c r="D107" s="706"/>
      <c r="E107" s="706"/>
      <c r="F107" s="708" t="s">
        <v>688</v>
      </c>
      <c r="G107" s="709">
        <f>+G108</f>
        <v>0</v>
      </c>
      <c r="H107" s="544"/>
    </row>
    <row r="108" spans="1:8" ht="15.75">
      <c r="A108" s="705">
        <v>5</v>
      </c>
      <c r="B108" s="706">
        <v>3</v>
      </c>
      <c r="C108" s="706">
        <v>1</v>
      </c>
      <c r="D108" s="706"/>
      <c r="E108" s="706"/>
      <c r="F108" s="708" t="s">
        <v>651</v>
      </c>
      <c r="G108" s="710"/>
      <c r="H108" s="544"/>
    </row>
    <row r="109" spans="1:8" ht="15.75">
      <c r="A109" s="711">
        <v>6</v>
      </c>
      <c r="B109" s="706"/>
      <c r="C109" s="706"/>
      <c r="D109" s="706"/>
      <c r="E109" s="706"/>
      <c r="F109" s="708" t="s">
        <v>553</v>
      </c>
      <c r="G109" s="709">
        <f>+G110</f>
        <v>0</v>
      </c>
      <c r="H109" s="544"/>
    </row>
    <row r="110" spans="1:8" ht="15.75">
      <c r="A110" s="705">
        <v>6</v>
      </c>
      <c r="B110" s="706">
        <v>1</v>
      </c>
      <c r="C110" s="706"/>
      <c r="D110" s="706"/>
      <c r="E110" s="706"/>
      <c r="F110" s="708" t="s">
        <v>689</v>
      </c>
      <c r="G110" s="709">
        <f>+G111</f>
        <v>0</v>
      </c>
      <c r="H110" s="544"/>
    </row>
    <row r="111" spans="1:8" ht="16.5" thickBot="1">
      <c r="A111" s="712">
        <v>6</v>
      </c>
      <c r="B111" s="713">
        <v>1</v>
      </c>
      <c r="C111" s="713">
        <v>1</v>
      </c>
      <c r="D111" s="713"/>
      <c r="E111" s="713"/>
      <c r="F111" s="714" t="s">
        <v>652</v>
      </c>
      <c r="G111" s="715">
        <v>0</v>
      </c>
      <c r="H111" s="544"/>
    </row>
    <row r="112" spans="1:8" ht="16.5" thickBot="1">
      <c r="A112" s="544"/>
      <c r="B112" s="544"/>
      <c r="C112" s="544"/>
      <c r="D112" s="544"/>
      <c r="E112" s="544"/>
      <c r="F112" s="699" t="s">
        <v>690</v>
      </c>
      <c r="G112" s="716">
        <f>+G91+G102+G109</f>
        <v>849970</v>
      </c>
      <c r="H112" s="544"/>
    </row>
    <row r="113" spans="1:8" ht="15">
      <c r="A113" s="544"/>
      <c r="B113" s="544"/>
      <c r="C113" s="544"/>
      <c r="D113" s="544"/>
      <c r="E113" s="544"/>
      <c r="F113" s="544"/>
      <c r="G113" s="544"/>
      <c r="H113" s="544"/>
    </row>
    <row r="114" spans="1:8" ht="15.75">
      <c r="A114" s="544"/>
      <c r="B114" s="544"/>
      <c r="C114" s="544"/>
      <c r="D114" s="544"/>
      <c r="E114" s="544"/>
      <c r="F114" s="69" t="s">
        <v>1141</v>
      </c>
      <c r="G114" s="544"/>
      <c r="H114" s="544"/>
    </row>
    <row r="115" spans="1:8" ht="15.75">
      <c r="A115" s="783" t="str">
        <f>+A87</f>
        <v>PRESUPUESTO AÑO 2008</v>
      </c>
      <c r="B115" s="784"/>
      <c r="C115" s="784"/>
      <c r="D115" s="784"/>
      <c r="E115" s="784"/>
      <c r="F115" s="784"/>
      <c r="G115" s="784"/>
      <c r="H115" s="544"/>
    </row>
    <row r="116" spans="1:8" ht="16.5" thickBot="1">
      <c r="A116" s="69" t="s">
        <v>97</v>
      </c>
      <c r="B116" s="544"/>
      <c r="C116" s="544"/>
      <c r="D116" s="544"/>
      <c r="E116" s="544"/>
      <c r="F116" s="544"/>
      <c r="G116" s="76">
        <v>351</v>
      </c>
      <c r="H116" s="544"/>
    </row>
    <row r="117" spans="1:8" ht="16.5" thickBot="1">
      <c r="A117" s="785" t="s">
        <v>621</v>
      </c>
      <c r="B117" s="786"/>
      <c r="C117" s="786"/>
      <c r="D117" s="786"/>
      <c r="E117" s="786"/>
      <c r="F117" s="698" t="s">
        <v>657</v>
      </c>
      <c r="G117" s="698" t="s">
        <v>658</v>
      </c>
      <c r="H117" s="544"/>
    </row>
    <row r="118" spans="1:8" ht="16.5" thickBot="1">
      <c r="A118" s="362" t="s">
        <v>659</v>
      </c>
      <c r="B118" s="362" t="s">
        <v>660</v>
      </c>
      <c r="C118" s="362" t="s">
        <v>661</v>
      </c>
      <c r="D118" s="362" t="s">
        <v>625</v>
      </c>
      <c r="E118" s="691" t="s">
        <v>662</v>
      </c>
      <c r="F118" s="699" t="s">
        <v>663</v>
      </c>
      <c r="G118" s="699"/>
      <c r="H118" s="544"/>
    </row>
    <row r="119" spans="1:8" ht="15.75">
      <c r="A119" s="700">
        <v>4</v>
      </c>
      <c r="B119" s="701"/>
      <c r="C119" s="701"/>
      <c r="D119" s="701"/>
      <c r="E119" s="702"/>
      <c r="F119" s="703" t="s">
        <v>539</v>
      </c>
      <c r="G119" s="704">
        <f>+G120+G126+G128</f>
        <v>1420640</v>
      </c>
      <c r="H119" s="544"/>
    </row>
    <row r="120" spans="1:8" ht="15.75">
      <c r="A120" s="705">
        <v>4</v>
      </c>
      <c r="B120" s="706">
        <v>1</v>
      </c>
      <c r="C120" s="706"/>
      <c r="D120" s="706"/>
      <c r="E120" s="707"/>
      <c r="F120" s="708" t="s">
        <v>664</v>
      </c>
      <c r="G120" s="709">
        <f>+G121+G124+G125</f>
        <v>1420640</v>
      </c>
      <c r="H120" s="544"/>
    </row>
    <row r="121" spans="1:8" ht="15.75">
      <c r="A121" s="705">
        <v>4</v>
      </c>
      <c r="B121" s="706">
        <v>1</v>
      </c>
      <c r="C121" s="706">
        <v>1</v>
      </c>
      <c r="D121" s="706"/>
      <c r="E121" s="707"/>
      <c r="F121" s="708" t="s">
        <v>644</v>
      </c>
      <c r="G121" s="709">
        <f>+G122+G123</f>
        <v>821880</v>
      </c>
      <c r="H121" s="544"/>
    </row>
    <row r="122" spans="1:8" ht="15.75">
      <c r="A122" s="705">
        <v>4</v>
      </c>
      <c r="B122" s="706">
        <v>1</v>
      </c>
      <c r="C122" s="706">
        <v>1</v>
      </c>
      <c r="D122" s="706">
        <v>1</v>
      </c>
      <c r="E122" s="707"/>
      <c r="F122" s="708" t="s">
        <v>665</v>
      </c>
      <c r="G122" s="709">
        <f>+ANEXO4!G23</f>
        <v>742620</v>
      </c>
      <c r="H122" s="544"/>
    </row>
    <row r="123" spans="1:8" ht="15.75">
      <c r="A123" s="705">
        <v>4</v>
      </c>
      <c r="B123" s="706">
        <v>1</v>
      </c>
      <c r="C123" s="706">
        <v>1</v>
      </c>
      <c r="D123" s="706">
        <v>2</v>
      </c>
      <c r="E123" s="707"/>
      <c r="F123" s="708" t="s">
        <v>682</v>
      </c>
      <c r="G123" s="709">
        <f>+ANEXO4!E42</f>
        <v>79260</v>
      </c>
      <c r="H123" s="544"/>
    </row>
    <row r="124" spans="1:8" ht="15.75">
      <c r="A124" s="705">
        <v>4</v>
      </c>
      <c r="B124" s="706">
        <v>1</v>
      </c>
      <c r="C124" s="706">
        <v>2</v>
      </c>
      <c r="D124" s="706"/>
      <c r="E124" s="707"/>
      <c r="F124" s="708" t="s">
        <v>645</v>
      </c>
      <c r="G124" s="709">
        <f>+ANEXO4!H71</f>
        <v>1800</v>
      </c>
      <c r="H124" s="544"/>
    </row>
    <row r="125" spans="1:8" ht="15.75">
      <c r="A125" s="705">
        <v>4</v>
      </c>
      <c r="B125" s="706">
        <v>1</v>
      </c>
      <c r="C125" s="706">
        <v>3</v>
      </c>
      <c r="D125" s="706"/>
      <c r="E125" s="707"/>
      <c r="F125" s="708" t="s">
        <v>646</v>
      </c>
      <c r="G125" s="709">
        <f>+ANEXO4!H98</f>
        <v>596960</v>
      </c>
      <c r="H125" s="544"/>
    </row>
    <row r="126" spans="1:8" ht="15.75">
      <c r="A126" s="705">
        <v>4</v>
      </c>
      <c r="B126" s="706">
        <v>2</v>
      </c>
      <c r="C126" s="706"/>
      <c r="D126" s="706"/>
      <c r="E126" s="707"/>
      <c r="F126" s="708" t="s">
        <v>683</v>
      </c>
      <c r="G126" s="709">
        <f>+G127</f>
        <v>0</v>
      </c>
      <c r="H126" s="544"/>
    </row>
    <row r="127" spans="1:8" ht="15.75">
      <c r="A127" s="705">
        <v>4</v>
      </c>
      <c r="B127" s="706">
        <v>2</v>
      </c>
      <c r="C127" s="706">
        <v>1</v>
      </c>
      <c r="D127" s="706"/>
      <c r="E127" s="707"/>
      <c r="F127" s="708" t="s">
        <v>684</v>
      </c>
      <c r="G127" s="710"/>
      <c r="H127" s="544"/>
    </row>
    <row r="128" spans="1:8" ht="15.75">
      <c r="A128" s="705">
        <v>4</v>
      </c>
      <c r="B128" s="706">
        <v>3</v>
      </c>
      <c r="C128" s="706"/>
      <c r="D128" s="706"/>
      <c r="E128" s="707"/>
      <c r="F128" s="708" t="s">
        <v>685</v>
      </c>
      <c r="G128" s="709">
        <f>+G129</f>
        <v>0</v>
      </c>
      <c r="H128" s="544"/>
    </row>
    <row r="129" spans="1:8" ht="15.75">
      <c r="A129" s="705">
        <v>4</v>
      </c>
      <c r="B129" s="706">
        <v>3</v>
      </c>
      <c r="C129" s="706">
        <v>1</v>
      </c>
      <c r="D129" s="706"/>
      <c r="E129" s="707"/>
      <c r="F129" s="708" t="s">
        <v>648</v>
      </c>
      <c r="G129" s="710"/>
      <c r="H129" s="544"/>
    </row>
    <row r="130" spans="1:8" ht="15.75">
      <c r="A130" s="711">
        <v>5</v>
      </c>
      <c r="B130" s="706"/>
      <c r="C130" s="706"/>
      <c r="D130" s="706"/>
      <c r="E130" s="707"/>
      <c r="F130" s="708" t="s">
        <v>548</v>
      </c>
      <c r="G130" s="709">
        <f>+G131+G134+G135</f>
        <v>3000</v>
      </c>
      <c r="H130" s="544"/>
    </row>
    <row r="131" spans="1:8" ht="15.75">
      <c r="A131" s="705">
        <v>5</v>
      </c>
      <c r="B131" s="706">
        <v>1</v>
      </c>
      <c r="C131" s="706"/>
      <c r="D131" s="706"/>
      <c r="E131" s="707"/>
      <c r="F131" s="708" t="s">
        <v>686</v>
      </c>
      <c r="G131" s="709">
        <f>+G132+G133</f>
        <v>3000</v>
      </c>
      <c r="H131" s="544"/>
    </row>
    <row r="132" spans="1:8" ht="15.75">
      <c r="A132" s="705">
        <v>5</v>
      </c>
      <c r="B132" s="706">
        <v>1</v>
      </c>
      <c r="C132" s="706">
        <v>1</v>
      </c>
      <c r="D132" s="706"/>
      <c r="E132" s="707"/>
      <c r="F132" s="708" t="s">
        <v>649</v>
      </c>
      <c r="G132" s="710">
        <f>+ANEXO4!H119</f>
        <v>3000</v>
      </c>
      <c r="H132" s="544"/>
    </row>
    <row r="133" spans="1:8" ht="15.75">
      <c r="A133" s="705">
        <v>5</v>
      </c>
      <c r="B133" s="706">
        <v>1</v>
      </c>
      <c r="C133" s="706">
        <v>2</v>
      </c>
      <c r="D133" s="706"/>
      <c r="E133" s="706"/>
      <c r="F133" s="708" t="s">
        <v>650</v>
      </c>
      <c r="G133" s="710"/>
      <c r="H133" s="544"/>
    </row>
    <row r="134" spans="1:8" ht="15.75">
      <c r="A134" s="705">
        <v>5</v>
      </c>
      <c r="B134" s="706">
        <v>2</v>
      </c>
      <c r="C134" s="706"/>
      <c r="D134" s="706"/>
      <c r="E134" s="706"/>
      <c r="F134" s="708" t="s">
        <v>687</v>
      </c>
      <c r="G134" s="709">
        <v>0</v>
      </c>
      <c r="H134" s="544"/>
    </row>
    <row r="135" spans="1:8" ht="15.75">
      <c r="A135" s="705">
        <v>5</v>
      </c>
      <c r="B135" s="706">
        <v>3</v>
      </c>
      <c r="C135" s="706"/>
      <c r="D135" s="706"/>
      <c r="E135" s="706"/>
      <c r="F135" s="708" t="s">
        <v>688</v>
      </c>
      <c r="G135" s="709">
        <f>+G136</f>
        <v>0</v>
      </c>
      <c r="H135" s="544"/>
    </row>
    <row r="136" spans="1:8" ht="15.75">
      <c r="A136" s="705">
        <v>5</v>
      </c>
      <c r="B136" s="706">
        <v>3</v>
      </c>
      <c r="C136" s="706">
        <v>1</v>
      </c>
      <c r="D136" s="706"/>
      <c r="E136" s="706"/>
      <c r="F136" s="708" t="s">
        <v>651</v>
      </c>
      <c r="G136" s="710"/>
      <c r="H136" s="544"/>
    </row>
    <row r="137" spans="1:8" ht="15.75">
      <c r="A137" s="711">
        <v>6</v>
      </c>
      <c r="B137" s="706"/>
      <c r="C137" s="706"/>
      <c r="D137" s="706"/>
      <c r="E137" s="706"/>
      <c r="F137" s="708" t="s">
        <v>553</v>
      </c>
      <c r="G137" s="709">
        <f>+G138</f>
        <v>0</v>
      </c>
      <c r="H137" s="544"/>
    </row>
    <row r="138" spans="1:8" ht="15.75">
      <c r="A138" s="705">
        <v>6</v>
      </c>
      <c r="B138" s="706">
        <v>1</v>
      </c>
      <c r="C138" s="706"/>
      <c r="D138" s="706"/>
      <c r="E138" s="706"/>
      <c r="F138" s="708" t="s">
        <v>689</v>
      </c>
      <c r="G138" s="709">
        <f>+G139</f>
        <v>0</v>
      </c>
      <c r="H138" s="544"/>
    </row>
    <row r="139" spans="1:8" ht="16.5" thickBot="1">
      <c r="A139" s="712">
        <v>6</v>
      </c>
      <c r="B139" s="713">
        <v>1</v>
      </c>
      <c r="C139" s="713">
        <v>1</v>
      </c>
      <c r="D139" s="713"/>
      <c r="E139" s="713"/>
      <c r="F139" s="714" t="s">
        <v>652</v>
      </c>
      <c r="G139" s="715"/>
      <c r="H139" s="544"/>
    </row>
    <row r="140" spans="1:8" ht="16.5" thickBot="1">
      <c r="A140" s="544"/>
      <c r="B140" s="544"/>
      <c r="C140" s="544"/>
      <c r="D140" s="544"/>
      <c r="E140" s="544"/>
      <c r="F140" s="699" t="s">
        <v>690</v>
      </c>
      <c r="G140" s="716">
        <f>+G119+G130+G137</f>
        <v>1423640</v>
      </c>
      <c r="H140" s="544"/>
    </row>
    <row r="141" spans="1:8" ht="15">
      <c r="A141" s="544"/>
      <c r="B141" s="544"/>
      <c r="C141" s="544"/>
      <c r="D141" s="544"/>
      <c r="E141" s="544"/>
      <c r="F141" s="544"/>
      <c r="G141" s="544"/>
      <c r="H141" s="544"/>
    </row>
    <row r="142" spans="1:8" s="85" customFormat="1" ht="15.75">
      <c r="A142" s="719"/>
      <c r="B142" s="720"/>
      <c r="C142" s="720"/>
      <c r="D142" s="720"/>
      <c r="E142" s="720"/>
      <c r="F142" s="721" t="s">
        <v>1140</v>
      </c>
      <c r="G142" s="720"/>
      <c r="H142" s="720"/>
    </row>
    <row r="143" spans="1:8" s="85" customFormat="1" ht="15.75">
      <c r="A143" s="783" t="str">
        <f>+A115</f>
        <v>PRESUPUESTO AÑO 2008</v>
      </c>
      <c r="B143" s="784"/>
      <c r="C143" s="784"/>
      <c r="D143" s="784"/>
      <c r="E143" s="784"/>
      <c r="F143" s="784"/>
      <c r="G143" s="784"/>
      <c r="H143" s="720"/>
    </row>
    <row r="144" spans="1:8" ht="16.5" thickBot="1">
      <c r="A144" s="69" t="s">
        <v>704</v>
      </c>
      <c r="B144" s="544"/>
      <c r="C144" s="544"/>
      <c r="D144" s="544"/>
      <c r="E144" s="544"/>
      <c r="F144" s="544"/>
      <c r="G144" s="76">
        <v>361</v>
      </c>
      <c r="H144" s="544"/>
    </row>
    <row r="145" spans="1:8" ht="16.5" thickBot="1">
      <c r="A145" s="785" t="s">
        <v>621</v>
      </c>
      <c r="B145" s="786"/>
      <c r="C145" s="786"/>
      <c r="D145" s="786"/>
      <c r="E145" s="786"/>
      <c r="F145" s="698" t="s">
        <v>657</v>
      </c>
      <c r="G145" s="698" t="s">
        <v>658</v>
      </c>
      <c r="H145" s="544"/>
    </row>
    <row r="146" spans="1:8" ht="16.5" thickBot="1">
      <c r="A146" s="362" t="s">
        <v>659</v>
      </c>
      <c r="B146" s="362" t="s">
        <v>660</v>
      </c>
      <c r="C146" s="362" t="s">
        <v>661</v>
      </c>
      <c r="D146" s="362" t="s">
        <v>625</v>
      </c>
      <c r="E146" s="691" t="s">
        <v>662</v>
      </c>
      <c r="F146" s="699" t="s">
        <v>663</v>
      </c>
      <c r="G146" s="699"/>
      <c r="H146" s="544"/>
    </row>
    <row r="147" spans="1:8" ht="15.75">
      <c r="A147" s="700">
        <v>4</v>
      </c>
      <c r="B147" s="701"/>
      <c r="C147" s="701"/>
      <c r="D147" s="701"/>
      <c r="E147" s="702"/>
      <c r="F147" s="703" t="s">
        <v>539</v>
      </c>
      <c r="G147" s="704">
        <f>+G148+G154+G156</f>
        <v>1838020</v>
      </c>
      <c r="H147" s="544"/>
    </row>
    <row r="148" spans="1:8" ht="15.75">
      <c r="A148" s="705">
        <v>4</v>
      </c>
      <c r="B148" s="706">
        <v>1</v>
      </c>
      <c r="C148" s="706"/>
      <c r="D148" s="706"/>
      <c r="E148" s="707"/>
      <c r="F148" s="708" t="s">
        <v>664</v>
      </c>
      <c r="G148" s="709">
        <f>+G149+G152+G153</f>
        <v>1838020</v>
      </c>
      <c r="H148" s="544"/>
    </row>
    <row r="149" spans="1:8" ht="15.75">
      <c r="A149" s="705">
        <v>4</v>
      </c>
      <c r="B149" s="706">
        <v>1</v>
      </c>
      <c r="C149" s="706">
        <v>1</v>
      </c>
      <c r="D149" s="706"/>
      <c r="E149" s="707"/>
      <c r="F149" s="708" t="s">
        <v>644</v>
      </c>
      <c r="G149" s="709">
        <f>+G150+G151</f>
        <v>471660</v>
      </c>
      <c r="H149" s="544"/>
    </row>
    <row r="150" spans="1:8" ht="15.75">
      <c r="A150" s="705">
        <v>4</v>
      </c>
      <c r="B150" s="706">
        <v>1</v>
      </c>
      <c r="C150" s="706">
        <v>1</v>
      </c>
      <c r="D150" s="706">
        <v>1</v>
      </c>
      <c r="E150" s="707"/>
      <c r="F150" s="708" t="s">
        <v>665</v>
      </c>
      <c r="G150" s="709">
        <f>+ANEXO4!H$23</f>
        <v>433120</v>
      </c>
      <c r="H150" s="544"/>
    </row>
    <row r="151" spans="1:8" ht="15.75">
      <c r="A151" s="705">
        <v>4</v>
      </c>
      <c r="B151" s="706">
        <v>1</v>
      </c>
      <c r="C151" s="706">
        <v>1</v>
      </c>
      <c r="D151" s="706">
        <v>2</v>
      </c>
      <c r="E151" s="707"/>
      <c r="F151" s="708" t="s">
        <v>682</v>
      </c>
      <c r="G151" s="709">
        <f>+ANEXO4!F$42</f>
        <v>38540</v>
      </c>
      <c r="H151" s="544"/>
    </row>
    <row r="152" spans="1:8" ht="15.75">
      <c r="A152" s="705">
        <v>4</v>
      </c>
      <c r="B152" s="706">
        <v>1</v>
      </c>
      <c r="C152" s="706">
        <v>2</v>
      </c>
      <c r="D152" s="706"/>
      <c r="E152" s="707"/>
      <c r="F152" s="708" t="s">
        <v>645</v>
      </c>
      <c r="G152" s="709">
        <f>+ANEXO4!I$71</f>
        <v>209000</v>
      </c>
      <c r="H152" s="544"/>
    </row>
    <row r="153" spans="1:8" ht="15.75">
      <c r="A153" s="705">
        <v>4</v>
      </c>
      <c r="B153" s="706">
        <v>1</v>
      </c>
      <c r="C153" s="706">
        <v>3</v>
      </c>
      <c r="D153" s="706"/>
      <c r="E153" s="707"/>
      <c r="F153" s="708" t="s">
        <v>646</v>
      </c>
      <c r="G153" s="709">
        <f>+ANEXO4!I$98</f>
        <v>1157360</v>
      </c>
      <c r="H153" s="544"/>
    </row>
    <row r="154" spans="1:8" ht="15.75">
      <c r="A154" s="705">
        <v>4</v>
      </c>
      <c r="B154" s="706">
        <v>2</v>
      </c>
      <c r="C154" s="706"/>
      <c r="D154" s="706"/>
      <c r="E154" s="707"/>
      <c r="F154" s="708" t="s">
        <v>683</v>
      </c>
      <c r="G154" s="709">
        <f>+G155</f>
        <v>0</v>
      </c>
      <c r="H154" s="544"/>
    </row>
    <row r="155" spans="1:8" ht="15.75">
      <c r="A155" s="705">
        <v>4</v>
      </c>
      <c r="B155" s="706">
        <v>2</v>
      </c>
      <c r="C155" s="706">
        <v>1</v>
      </c>
      <c r="D155" s="706"/>
      <c r="E155" s="707"/>
      <c r="F155" s="708" t="s">
        <v>684</v>
      </c>
      <c r="G155" s="710">
        <v>0</v>
      </c>
      <c r="H155" s="544"/>
    </row>
    <row r="156" spans="1:8" ht="15.75">
      <c r="A156" s="705">
        <v>4</v>
      </c>
      <c r="B156" s="706">
        <v>3</v>
      </c>
      <c r="C156" s="706"/>
      <c r="D156" s="706"/>
      <c r="E156" s="707"/>
      <c r="F156" s="708" t="s">
        <v>685</v>
      </c>
      <c r="G156" s="709">
        <f>+G157</f>
        <v>0</v>
      </c>
      <c r="H156" s="544"/>
    </row>
    <row r="157" spans="1:8" ht="15.75">
      <c r="A157" s="705">
        <v>4</v>
      </c>
      <c r="B157" s="706">
        <v>3</v>
      </c>
      <c r="C157" s="706">
        <v>1</v>
      </c>
      <c r="D157" s="706"/>
      <c r="E157" s="707"/>
      <c r="F157" s="708" t="s">
        <v>648</v>
      </c>
      <c r="G157" s="710"/>
      <c r="H157" s="544"/>
    </row>
    <row r="158" spans="1:8" ht="15.75">
      <c r="A158" s="711">
        <v>5</v>
      </c>
      <c r="B158" s="706"/>
      <c r="C158" s="706"/>
      <c r="D158" s="706"/>
      <c r="E158" s="707"/>
      <c r="F158" s="708" t="s">
        <v>548</v>
      </c>
      <c r="G158" s="709">
        <f>+G159+G162+G163</f>
        <v>250840</v>
      </c>
      <c r="H158" s="544"/>
    </row>
    <row r="159" spans="1:8" ht="15.75">
      <c r="A159" s="705">
        <v>5</v>
      </c>
      <c r="B159" s="706">
        <v>1</v>
      </c>
      <c r="C159" s="706"/>
      <c r="D159" s="706"/>
      <c r="E159" s="707"/>
      <c r="F159" s="708" t="s">
        <v>686</v>
      </c>
      <c r="G159" s="709">
        <f>+G160+G161</f>
        <v>250840</v>
      </c>
      <c r="H159" s="544"/>
    </row>
    <row r="160" spans="1:8" ht="15.75">
      <c r="A160" s="705">
        <v>5</v>
      </c>
      <c r="B160" s="706">
        <v>1</v>
      </c>
      <c r="C160" s="706">
        <v>1</v>
      </c>
      <c r="D160" s="706"/>
      <c r="E160" s="707"/>
      <c r="F160" s="708" t="s">
        <v>649</v>
      </c>
      <c r="G160" s="710">
        <f>+ANEXO4!I$119</f>
        <v>250840</v>
      </c>
      <c r="H160" s="544"/>
    </row>
    <row r="161" spans="1:8" ht="15.75">
      <c r="A161" s="705">
        <v>5</v>
      </c>
      <c r="B161" s="706">
        <v>1</v>
      </c>
      <c r="C161" s="706">
        <v>2</v>
      </c>
      <c r="D161" s="706"/>
      <c r="E161" s="706"/>
      <c r="F161" s="708" t="s">
        <v>650</v>
      </c>
      <c r="G161" s="710"/>
      <c r="H161" s="544"/>
    </row>
    <row r="162" spans="1:8" ht="15.75">
      <c r="A162" s="705">
        <v>5</v>
      </c>
      <c r="B162" s="706">
        <v>2</v>
      </c>
      <c r="C162" s="706"/>
      <c r="D162" s="706"/>
      <c r="E162" s="706"/>
      <c r="F162" s="708" t="s">
        <v>687</v>
      </c>
      <c r="G162" s="709">
        <v>0</v>
      </c>
      <c r="H162" s="544"/>
    </row>
    <row r="163" spans="1:8" ht="15.75">
      <c r="A163" s="705">
        <v>5</v>
      </c>
      <c r="B163" s="706">
        <v>3</v>
      </c>
      <c r="C163" s="706"/>
      <c r="D163" s="706"/>
      <c r="E163" s="706"/>
      <c r="F163" s="708" t="s">
        <v>688</v>
      </c>
      <c r="G163" s="709">
        <f>+G164</f>
        <v>0</v>
      </c>
      <c r="H163" s="544"/>
    </row>
    <row r="164" spans="1:8" ht="15.75">
      <c r="A164" s="705">
        <v>5</v>
      </c>
      <c r="B164" s="706">
        <v>3</v>
      </c>
      <c r="C164" s="706">
        <v>1</v>
      </c>
      <c r="D164" s="706"/>
      <c r="E164" s="706"/>
      <c r="F164" s="708" t="s">
        <v>651</v>
      </c>
      <c r="G164" s="710"/>
      <c r="H164" s="544"/>
    </row>
    <row r="165" spans="1:8" ht="15.75">
      <c r="A165" s="711">
        <v>6</v>
      </c>
      <c r="B165" s="706"/>
      <c r="C165" s="706"/>
      <c r="D165" s="706"/>
      <c r="E165" s="706"/>
      <c r="F165" s="708" t="s">
        <v>553</v>
      </c>
      <c r="G165" s="709">
        <f>+G166</f>
        <v>0</v>
      </c>
      <c r="H165" s="544"/>
    </row>
    <row r="166" spans="1:8" ht="15.75">
      <c r="A166" s="705">
        <v>6</v>
      </c>
      <c r="B166" s="706">
        <v>1</v>
      </c>
      <c r="C166" s="706"/>
      <c r="D166" s="706"/>
      <c r="E166" s="706"/>
      <c r="F166" s="708" t="s">
        <v>689</v>
      </c>
      <c r="G166" s="709">
        <f>+G167</f>
        <v>0</v>
      </c>
      <c r="H166" s="544"/>
    </row>
    <row r="167" spans="1:8" ht="16.5" thickBot="1">
      <c r="A167" s="712">
        <v>6</v>
      </c>
      <c r="B167" s="713">
        <v>1</v>
      </c>
      <c r="C167" s="713">
        <v>1</v>
      </c>
      <c r="D167" s="713"/>
      <c r="E167" s="713"/>
      <c r="F167" s="714" t="s">
        <v>652</v>
      </c>
      <c r="G167" s="715">
        <v>0</v>
      </c>
      <c r="H167" s="544"/>
    </row>
    <row r="168" spans="1:8" ht="16.5" thickBot="1">
      <c r="A168" s="544"/>
      <c r="B168" s="544"/>
      <c r="C168" s="544"/>
      <c r="D168" s="544"/>
      <c r="E168" s="544"/>
      <c r="F168" s="699" t="s">
        <v>690</v>
      </c>
      <c r="G168" s="716">
        <f>+G147+G158+G165</f>
        <v>2088860</v>
      </c>
      <c r="H168" s="544"/>
    </row>
    <row r="169" spans="1:8" ht="15">
      <c r="A169" s="544"/>
      <c r="B169" s="544"/>
      <c r="C169" s="544"/>
      <c r="D169" s="544"/>
      <c r="E169" s="544"/>
      <c r="F169" s="544"/>
      <c r="G169" s="544"/>
      <c r="H169" s="544"/>
    </row>
    <row r="170" spans="1:8" s="85" customFormat="1" ht="15.75">
      <c r="A170" s="719"/>
      <c r="B170" s="720"/>
      <c r="C170" s="720"/>
      <c r="D170" s="720"/>
      <c r="E170" s="720"/>
      <c r="F170" s="721" t="s">
        <v>1140</v>
      </c>
      <c r="G170" s="720"/>
      <c r="H170" s="720"/>
    </row>
    <row r="171" spans="1:8" s="85" customFormat="1" ht="15.75">
      <c r="A171" s="783" t="str">
        <f>+A143</f>
        <v>PRESUPUESTO AÑO 2008</v>
      </c>
      <c r="B171" s="784"/>
      <c r="C171" s="784"/>
      <c r="D171" s="784"/>
      <c r="E171" s="784"/>
      <c r="F171" s="784"/>
      <c r="G171" s="784"/>
      <c r="H171" s="720"/>
    </row>
    <row r="172" spans="1:8" ht="16.5" thickBot="1">
      <c r="A172" s="69" t="s">
        <v>156</v>
      </c>
      <c r="B172" s="544"/>
      <c r="C172" s="544"/>
      <c r="D172" s="544"/>
      <c r="E172" s="544"/>
      <c r="F172" s="544"/>
      <c r="G172" s="76" t="s">
        <v>841</v>
      </c>
      <c r="H172" s="544"/>
    </row>
    <row r="173" spans="1:8" ht="16.5" thickBot="1">
      <c r="A173" s="785" t="s">
        <v>621</v>
      </c>
      <c r="B173" s="786"/>
      <c r="C173" s="786"/>
      <c r="D173" s="786"/>
      <c r="E173" s="786"/>
      <c r="F173" s="698" t="s">
        <v>657</v>
      </c>
      <c r="G173" s="698" t="s">
        <v>658</v>
      </c>
      <c r="H173" s="544"/>
    </row>
    <row r="174" spans="1:8" ht="16.5" thickBot="1">
      <c r="A174" s="362" t="s">
        <v>659</v>
      </c>
      <c r="B174" s="362" t="s">
        <v>660</v>
      </c>
      <c r="C174" s="362" t="s">
        <v>661</v>
      </c>
      <c r="D174" s="362" t="s">
        <v>625</v>
      </c>
      <c r="E174" s="691" t="s">
        <v>662</v>
      </c>
      <c r="F174" s="699" t="s">
        <v>663</v>
      </c>
      <c r="G174" s="699"/>
      <c r="H174" s="544"/>
    </row>
    <row r="175" spans="1:8" ht="15.75">
      <c r="A175" s="700">
        <v>4</v>
      </c>
      <c r="B175" s="701"/>
      <c r="C175" s="701"/>
      <c r="D175" s="701"/>
      <c r="E175" s="702"/>
      <c r="F175" s="703" t="s">
        <v>539</v>
      </c>
      <c r="G175" s="704">
        <f>+G176+G182+G184</f>
        <v>866270</v>
      </c>
      <c r="H175" s="544"/>
    </row>
    <row r="176" spans="1:8" ht="15.75">
      <c r="A176" s="705">
        <v>4</v>
      </c>
      <c r="B176" s="706">
        <v>1</v>
      </c>
      <c r="C176" s="706"/>
      <c r="D176" s="706"/>
      <c r="E176" s="707"/>
      <c r="F176" s="708" t="s">
        <v>664</v>
      </c>
      <c r="G176" s="709">
        <f>+G177+G180+G181</f>
        <v>866270</v>
      </c>
      <c r="H176" s="544"/>
    </row>
    <row r="177" spans="1:8" ht="15.75">
      <c r="A177" s="705">
        <v>4</v>
      </c>
      <c r="B177" s="706">
        <v>1</v>
      </c>
      <c r="C177" s="706">
        <v>1</v>
      </c>
      <c r="D177" s="706"/>
      <c r="E177" s="707"/>
      <c r="F177" s="708" t="s">
        <v>644</v>
      </c>
      <c r="G177" s="709">
        <f>+G178+G179</f>
        <v>480030</v>
      </c>
      <c r="H177" s="544"/>
    </row>
    <row r="178" spans="1:8" ht="15.75">
      <c r="A178" s="705">
        <v>4</v>
      </c>
      <c r="B178" s="706">
        <v>1</v>
      </c>
      <c r="C178" s="706">
        <v>1</v>
      </c>
      <c r="D178" s="706">
        <v>1</v>
      </c>
      <c r="E178" s="707"/>
      <c r="F178" s="708" t="s">
        <v>665</v>
      </c>
      <c r="G178" s="709">
        <f>+ANEXO4!I23</f>
        <v>466470</v>
      </c>
      <c r="H178" s="544"/>
    </row>
    <row r="179" spans="1:8" ht="15.75">
      <c r="A179" s="705">
        <v>4</v>
      </c>
      <c r="B179" s="706">
        <v>1</v>
      </c>
      <c r="C179" s="706">
        <v>1</v>
      </c>
      <c r="D179" s="706">
        <v>2</v>
      </c>
      <c r="E179" s="707"/>
      <c r="F179" s="708" t="s">
        <v>682</v>
      </c>
      <c r="G179" s="709">
        <f>+ANEXO4!G42</f>
        <v>13560</v>
      </c>
      <c r="H179" s="544"/>
    </row>
    <row r="180" spans="1:8" ht="15.75">
      <c r="A180" s="705">
        <v>4</v>
      </c>
      <c r="B180" s="706">
        <v>1</v>
      </c>
      <c r="C180" s="706">
        <v>2</v>
      </c>
      <c r="D180" s="706"/>
      <c r="E180" s="707"/>
      <c r="F180" s="708" t="s">
        <v>645</v>
      </c>
      <c r="G180" s="709">
        <f>+ANEXO4!J71</f>
        <v>117140</v>
      </c>
      <c r="H180" s="544"/>
    </row>
    <row r="181" spans="1:8" ht="15.75">
      <c r="A181" s="705">
        <v>4</v>
      </c>
      <c r="B181" s="706">
        <v>1</v>
      </c>
      <c r="C181" s="706">
        <v>3</v>
      </c>
      <c r="D181" s="706"/>
      <c r="E181" s="707"/>
      <c r="F181" s="708" t="s">
        <v>646</v>
      </c>
      <c r="G181" s="709">
        <f>+ANEXO4!J98</f>
        <v>269100</v>
      </c>
      <c r="H181" s="544"/>
    </row>
    <row r="182" spans="1:8" ht="15.75">
      <c r="A182" s="705">
        <v>4</v>
      </c>
      <c r="B182" s="706">
        <v>2</v>
      </c>
      <c r="C182" s="706"/>
      <c r="D182" s="706"/>
      <c r="E182" s="707"/>
      <c r="F182" s="708" t="s">
        <v>683</v>
      </c>
      <c r="G182" s="709">
        <f>+G183</f>
        <v>0</v>
      </c>
      <c r="H182" s="544"/>
    </row>
    <row r="183" spans="1:8" ht="15.75">
      <c r="A183" s="705">
        <v>4</v>
      </c>
      <c r="B183" s="706">
        <v>2</v>
      </c>
      <c r="C183" s="706">
        <v>1</v>
      </c>
      <c r="D183" s="706"/>
      <c r="E183" s="707"/>
      <c r="F183" s="708" t="s">
        <v>684</v>
      </c>
      <c r="G183" s="710">
        <v>0</v>
      </c>
      <c r="H183" s="544"/>
    </row>
    <row r="184" spans="1:8" ht="15.75">
      <c r="A184" s="705">
        <v>4</v>
      </c>
      <c r="B184" s="706">
        <v>3</v>
      </c>
      <c r="C184" s="706"/>
      <c r="D184" s="706"/>
      <c r="E184" s="707"/>
      <c r="F184" s="708" t="s">
        <v>685</v>
      </c>
      <c r="G184" s="709">
        <f>+G185</f>
        <v>0</v>
      </c>
      <c r="H184" s="544"/>
    </row>
    <row r="185" spans="1:8" ht="15.75">
      <c r="A185" s="705">
        <v>4</v>
      </c>
      <c r="B185" s="706">
        <v>3</v>
      </c>
      <c r="C185" s="706">
        <v>1</v>
      </c>
      <c r="D185" s="706"/>
      <c r="E185" s="707"/>
      <c r="F185" s="708" t="s">
        <v>648</v>
      </c>
      <c r="G185" s="710"/>
      <c r="H185" s="544"/>
    </row>
    <row r="186" spans="1:8" ht="15.75">
      <c r="A186" s="711">
        <v>5</v>
      </c>
      <c r="B186" s="706"/>
      <c r="C186" s="706"/>
      <c r="D186" s="706"/>
      <c r="E186" s="707"/>
      <c r="F186" s="708" t="s">
        <v>548</v>
      </c>
      <c r="G186" s="709">
        <f>+G187+G190+G191</f>
        <v>45600</v>
      </c>
      <c r="H186" s="544"/>
    </row>
    <row r="187" spans="1:8" ht="15.75">
      <c r="A187" s="705">
        <v>5</v>
      </c>
      <c r="B187" s="706">
        <v>1</v>
      </c>
      <c r="C187" s="706"/>
      <c r="D187" s="706"/>
      <c r="E187" s="707"/>
      <c r="F187" s="708" t="s">
        <v>686</v>
      </c>
      <c r="G187" s="709">
        <f>+G188+G189</f>
        <v>45600</v>
      </c>
      <c r="H187" s="544"/>
    </row>
    <row r="188" spans="1:8" ht="15.75">
      <c r="A188" s="705">
        <v>5</v>
      </c>
      <c r="B188" s="706">
        <v>1</v>
      </c>
      <c r="C188" s="706">
        <v>1</v>
      </c>
      <c r="D188" s="706"/>
      <c r="E188" s="707"/>
      <c r="F188" s="708" t="s">
        <v>649</v>
      </c>
      <c r="G188" s="710">
        <f>+ANEXO4!J119</f>
        <v>45600</v>
      </c>
      <c r="H188" s="544"/>
    </row>
    <row r="189" spans="1:8" ht="15.75">
      <c r="A189" s="705">
        <v>5</v>
      </c>
      <c r="B189" s="706">
        <v>1</v>
      </c>
      <c r="C189" s="706">
        <v>2</v>
      </c>
      <c r="D189" s="706"/>
      <c r="E189" s="706"/>
      <c r="F189" s="708" t="s">
        <v>650</v>
      </c>
      <c r="G189" s="710">
        <v>0</v>
      </c>
      <c r="H189" s="544"/>
    </row>
    <row r="190" spans="1:8" ht="15.75">
      <c r="A190" s="705">
        <v>5</v>
      </c>
      <c r="B190" s="706">
        <v>2</v>
      </c>
      <c r="C190" s="706"/>
      <c r="D190" s="706"/>
      <c r="E190" s="706"/>
      <c r="F190" s="708" t="s">
        <v>687</v>
      </c>
      <c r="G190" s="709">
        <v>0</v>
      </c>
      <c r="H190" s="544"/>
    </row>
    <row r="191" spans="1:8" ht="15.75">
      <c r="A191" s="705">
        <v>5</v>
      </c>
      <c r="B191" s="706">
        <v>3</v>
      </c>
      <c r="C191" s="706"/>
      <c r="D191" s="706"/>
      <c r="E191" s="706"/>
      <c r="F191" s="708" t="s">
        <v>688</v>
      </c>
      <c r="G191" s="709">
        <f>+G192</f>
        <v>0</v>
      </c>
      <c r="H191" s="544"/>
    </row>
    <row r="192" spans="1:8" ht="15.75">
      <c r="A192" s="705">
        <v>5</v>
      </c>
      <c r="B192" s="706">
        <v>3</v>
      </c>
      <c r="C192" s="706">
        <v>1</v>
      </c>
      <c r="D192" s="706"/>
      <c r="E192" s="706"/>
      <c r="F192" s="708" t="s">
        <v>651</v>
      </c>
      <c r="G192" s="710">
        <v>0</v>
      </c>
      <c r="H192" s="544"/>
    </row>
    <row r="193" spans="1:8" ht="15.75">
      <c r="A193" s="711">
        <v>6</v>
      </c>
      <c r="B193" s="706"/>
      <c r="C193" s="706"/>
      <c r="D193" s="706"/>
      <c r="E193" s="706"/>
      <c r="F193" s="708" t="s">
        <v>553</v>
      </c>
      <c r="G193" s="709">
        <f>+G194</f>
        <v>0</v>
      </c>
      <c r="H193" s="544"/>
    </row>
    <row r="194" spans="1:8" ht="15.75">
      <c r="A194" s="705">
        <v>6</v>
      </c>
      <c r="B194" s="706">
        <v>1</v>
      </c>
      <c r="C194" s="706"/>
      <c r="D194" s="706"/>
      <c r="E194" s="706"/>
      <c r="F194" s="708" t="s">
        <v>689</v>
      </c>
      <c r="G194" s="709">
        <f>+G195</f>
        <v>0</v>
      </c>
      <c r="H194" s="544"/>
    </row>
    <row r="195" spans="1:8" ht="16.5" thickBot="1">
      <c r="A195" s="712">
        <v>6</v>
      </c>
      <c r="B195" s="713">
        <v>1</v>
      </c>
      <c r="C195" s="713">
        <v>1</v>
      </c>
      <c r="D195" s="713"/>
      <c r="E195" s="713"/>
      <c r="F195" s="714" t="s">
        <v>652</v>
      </c>
      <c r="G195" s="715">
        <v>0</v>
      </c>
      <c r="H195" s="544"/>
    </row>
    <row r="196" spans="1:8" ht="16.5" thickBot="1">
      <c r="A196" s="544"/>
      <c r="B196" s="544"/>
      <c r="C196" s="544"/>
      <c r="D196" s="544"/>
      <c r="E196" s="544"/>
      <c r="F196" s="699" t="s">
        <v>690</v>
      </c>
      <c r="G196" s="716">
        <f>+G175+G186+G193</f>
        <v>911870</v>
      </c>
      <c r="H196" s="544"/>
    </row>
    <row r="197" spans="1:8" ht="15">
      <c r="A197" s="544"/>
      <c r="B197" s="544"/>
      <c r="C197" s="544"/>
      <c r="D197" s="544"/>
      <c r="E197" s="544"/>
      <c r="F197" s="544"/>
      <c r="G197" s="544"/>
      <c r="H197" s="544"/>
    </row>
    <row r="198" spans="1:8" ht="15">
      <c r="A198" s="544" t="s">
        <v>157</v>
      </c>
      <c r="B198" s="544"/>
      <c r="C198" s="544"/>
      <c r="D198" s="544"/>
      <c r="E198" s="544"/>
      <c r="F198" s="544"/>
      <c r="G198" s="544"/>
      <c r="H198" s="544"/>
    </row>
  </sheetData>
  <sheetProtection/>
  <mergeCells count="14">
    <mergeCell ref="A115:G115"/>
    <mergeCell ref="A117:E117"/>
    <mergeCell ref="A143:G143"/>
    <mergeCell ref="A145:E145"/>
    <mergeCell ref="A171:G171"/>
    <mergeCell ref="A173:E173"/>
    <mergeCell ref="A2:G2"/>
    <mergeCell ref="A4:E4"/>
    <mergeCell ref="A31:G31"/>
    <mergeCell ref="A33:E33"/>
    <mergeCell ref="A59:G59"/>
    <mergeCell ref="A61:E61"/>
    <mergeCell ref="A87:G87"/>
    <mergeCell ref="A89:E89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r:id="rId1"/>
  <rowBreaks count="6" manualBreakCount="6">
    <brk id="28" max="255" man="1"/>
    <brk id="56" max="255" man="1"/>
    <brk id="84" max="255" man="1"/>
    <brk id="112" max="255" man="1"/>
    <brk id="140" max="255" man="1"/>
    <brk id="16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19"/>
  <sheetViews>
    <sheetView zoomScale="75" zoomScaleNormal="75" zoomScaleSheetLayoutView="75" zoomScalePageLayoutView="0" workbookViewId="0" topLeftCell="C1">
      <selection activeCell="L94" sqref="L94"/>
    </sheetView>
  </sheetViews>
  <sheetFormatPr defaultColWidth="11.421875" defaultRowHeight="12.75"/>
  <cols>
    <col min="1" max="1" width="9.140625" style="48" customWidth="1"/>
    <col min="2" max="2" width="47.00390625" style="48" customWidth="1"/>
    <col min="3" max="3" width="13.7109375" style="48" bestFit="1" customWidth="1"/>
    <col min="4" max="7" width="11.7109375" style="48" bestFit="1" customWidth="1"/>
    <col min="8" max="8" width="11.57421875" style="48" customWidth="1"/>
    <col min="9" max="9" width="11.8515625" style="48" bestFit="1" customWidth="1"/>
    <col min="10" max="10" width="13.57421875" style="48" bestFit="1" customWidth="1"/>
  </cols>
  <sheetData>
    <row r="1" spans="1:10" ht="15">
      <c r="A1" s="722"/>
      <c r="B1" s="722"/>
      <c r="C1" s="722"/>
      <c r="D1" s="722"/>
      <c r="E1" s="722"/>
      <c r="F1" s="722"/>
      <c r="G1" s="722"/>
      <c r="H1" s="723" t="s">
        <v>363</v>
      </c>
      <c r="I1" s="722"/>
      <c r="J1" s="722"/>
    </row>
    <row r="2" spans="1:10" ht="15">
      <c r="A2" s="761" t="s">
        <v>383</v>
      </c>
      <c r="B2" s="761"/>
      <c r="C2" s="761"/>
      <c r="D2" s="761"/>
      <c r="E2" s="761"/>
      <c r="F2" s="761"/>
      <c r="G2" s="761"/>
      <c r="H2" s="761"/>
      <c r="I2" s="761"/>
      <c r="J2" s="761"/>
    </row>
    <row r="3" spans="1:10" ht="15">
      <c r="A3" s="723" t="s">
        <v>37</v>
      </c>
      <c r="B3" s="109" t="s">
        <v>1024</v>
      </c>
      <c r="C3" s="722"/>
      <c r="D3" s="722"/>
      <c r="E3" s="722"/>
      <c r="F3" s="722"/>
      <c r="G3" s="722"/>
      <c r="H3" s="722"/>
      <c r="I3" s="722"/>
      <c r="J3" s="722"/>
    </row>
    <row r="4" spans="1:10" ht="15">
      <c r="A4" s="723" t="s">
        <v>1012</v>
      </c>
      <c r="B4" s="109"/>
      <c r="C4" s="722"/>
      <c r="D4" s="722"/>
      <c r="E4" s="722"/>
      <c r="F4" s="722"/>
      <c r="G4" s="722"/>
      <c r="H4" s="722"/>
      <c r="I4" s="722"/>
      <c r="J4" s="722"/>
    </row>
    <row r="5" spans="1:10" ht="14.25">
      <c r="A5" s="722"/>
      <c r="B5" s="722"/>
      <c r="C5" s="722"/>
      <c r="D5" s="722"/>
      <c r="E5" s="722"/>
      <c r="F5" s="722"/>
      <c r="G5" s="722"/>
      <c r="H5" s="722"/>
      <c r="I5" s="722"/>
      <c r="J5" s="722"/>
    </row>
    <row r="6" spans="1:10" ht="15">
      <c r="A6" s="724" t="s">
        <v>621</v>
      </c>
      <c r="B6" s="725" t="s">
        <v>996</v>
      </c>
      <c r="C6" s="724" t="s">
        <v>1009</v>
      </c>
      <c r="D6" s="724" t="s">
        <v>709</v>
      </c>
      <c r="E6" s="724" t="s">
        <v>701</v>
      </c>
      <c r="F6" s="724" t="s">
        <v>1027</v>
      </c>
      <c r="G6" s="724" t="s">
        <v>80</v>
      </c>
      <c r="H6" s="724" t="s">
        <v>704</v>
      </c>
      <c r="I6" s="724" t="s">
        <v>155</v>
      </c>
      <c r="J6" s="724" t="s">
        <v>638</v>
      </c>
    </row>
    <row r="7" spans="1:12" ht="15">
      <c r="A7" s="724"/>
      <c r="B7" s="726"/>
      <c r="C7" s="724" t="s">
        <v>1028</v>
      </c>
      <c r="D7" s="724" t="s">
        <v>1029</v>
      </c>
      <c r="E7" s="724" t="s">
        <v>1030</v>
      </c>
      <c r="F7" s="724" t="s">
        <v>1031</v>
      </c>
      <c r="G7" s="724" t="s">
        <v>1034</v>
      </c>
      <c r="H7" s="724" t="s">
        <v>1032</v>
      </c>
      <c r="I7" s="724" t="s">
        <v>23</v>
      </c>
      <c r="J7" s="724"/>
      <c r="L7" s="564"/>
    </row>
    <row r="8" spans="1:12" ht="15">
      <c r="A8" s="727" t="s">
        <v>995</v>
      </c>
      <c r="B8" s="722"/>
      <c r="C8" s="722"/>
      <c r="D8" s="722"/>
      <c r="E8" s="722"/>
      <c r="F8" s="722"/>
      <c r="G8" s="722"/>
      <c r="H8" s="722"/>
      <c r="I8" s="722"/>
      <c r="J8" s="722"/>
      <c r="L8" s="48"/>
    </row>
    <row r="9" spans="1:12" ht="15">
      <c r="A9" s="728" t="s">
        <v>666</v>
      </c>
      <c r="B9" s="729" t="s">
        <v>667</v>
      </c>
      <c r="C9" s="730">
        <f>186500-7460</f>
        <v>179040</v>
      </c>
      <c r="D9" s="730">
        <f>246990-9880</f>
        <v>237110</v>
      </c>
      <c r="E9" s="730">
        <f>237400-9490</f>
        <v>227910</v>
      </c>
      <c r="F9" s="730">
        <f>177400-7090</f>
        <v>170310</v>
      </c>
      <c r="G9" s="730">
        <f>168450-6730</f>
        <v>161720</v>
      </c>
      <c r="H9" s="730">
        <f>159520-6380</f>
        <v>153140</v>
      </c>
      <c r="I9" s="730">
        <f>121710-4860</f>
        <v>116850</v>
      </c>
      <c r="J9" s="731">
        <f aca="true" t="shared" si="0" ref="J9:J22">SUM(C9:I9)</f>
        <v>1246080</v>
      </c>
      <c r="L9" s="9"/>
    </row>
    <row r="10" spans="1:12" ht="15">
      <c r="A10" s="728" t="s">
        <v>668</v>
      </c>
      <c r="B10" s="729" t="s">
        <v>669</v>
      </c>
      <c r="C10" s="730">
        <f>21390-850</f>
        <v>20540</v>
      </c>
      <c r="D10" s="730">
        <f>83690-3340</f>
        <v>80350</v>
      </c>
      <c r="E10" s="730">
        <f>48210-19*20</f>
        <v>47830</v>
      </c>
      <c r="F10" s="730">
        <f>32310-1290</f>
        <v>31020</v>
      </c>
      <c r="G10" s="730">
        <f>74720-2980</f>
        <v>71740</v>
      </c>
      <c r="H10" s="730">
        <f>18140-720</f>
        <v>17420</v>
      </c>
      <c r="I10" s="730">
        <f>23540-940</f>
        <v>22600</v>
      </c>
      <c r="J10" s="731">
        <f t="shared" si="0"/>
        <v>291500</v>
      </c>
      <c r="L10" s="9"/>
    </row>
    <row r="11" spans="1:12" ht="15">
      <c r="A11" s="728" t="s">
        <v>670</v>
      </c>
      <c r="B11" s="729" t="s">
        <v>726</v>
      </c>
      <c r="C11" s="730">
        <v>0</v>
      </c>
      <c r="D11" s="730">
        <v>0</v>
      </c>
      <c r="E11" s="730">
        <v>0</v>
      </c>
      <c r="F11" s="730">
        <v>0</v>
      </c>
      <c r="G11" s="730">
        <v>0</v>
      </c>
      <c r="H11" s="730">
        <v>0</v>
      </c>
      <c r="I11" s="730">
        <v>0</v>
      </c>
      <c r="J11" s="731">
        <f t="shared" si="0"/>
        <v>0</v>
      </c>
      <c r="L11" s="9"/>
    </row>
    <row r="12" spans="1:12" ht="15">
      <c r="A12" s="728" t="s">
        <v>672</v>
      </c>
      <c r="B12" s="729" t="s">
        <v>671</v>
      </c>
      <c r="C12" s="730">
        <f>27680-1100</f>
        <v>26580</v>
      </c>
      <c r="D12" s="730">
        <f>17380-690</f>
        <v>16690</v>
      </c>
      <c r="E12" s="730">
        <f>54360-2170</f>
        <v>52190</v>
      </c>
      <c r="F12" s="730">
        <f>77310-3090</f>
        <v>74220</v>
      </c>
      <c r="G12" s="730">
        <f>72980-2910</f>
        <v>70070</v>
      </c>
      <c r="H12" s="730">
        <f>35020-1400</f>
        <v>33620</v>
      </c>
      <c r="I12" s="730">
        <f>97230-3880</f>
        <v>93350</v>
      </c>
      <c r="J12" s="731">
        <f t="shared" si="0"/>
        <v>366720</v>
      </c>
      <c r="L12" s="9"/>
    </row>
    <row r="13" spans="1:12" ht="15">
      <c r="A13" s="728" t="s">
        <v>673</v>
      </c>
      <c r="B13" s="729" t="s">
        <v>674</v>
      </c>
      <c r="C13" s="730">
        <f>35950-1430</f>
        <v>34520</v>
      </c>
      <c r="D13" s="730">
        <f>221410-8850</f>
        <v>212560</v>
      </c>
      <c r="E13" s="730">
        <f>257500-10300</f>
        <v>247200</v>
      </c>
      <c r="F13" s="730">
        <f>247410-9890</f>
        <v>237520</v>
      </c>
      <c r="G13" s="730">
        <f>216510-8660</f>
        <v>207850</v>
      </c>
      <c r="H13" s="730">
        <f>83560-3340</f>
        <v>80220</v>
      </c>
      <c r="I13" s="730">
        <f>99530-3980</f>
        <v>95550</v>
      </c>
      <c r="J13" s="731">
        <f t="shared" si="0"/>
        <v>1115420</v>
      </c>
      <c r="L13" s="9"/>
    </row>
    <row r="14" spans="1:12" ht="15">
      <c r="A14" s="728" t="s">
        <v>675</v>
      </c>
      <c r="B14" s="729" t="s">
        <v>727</v>
      </c>
      <c r="C14" s="730">
        <v>0</v>
      </c>
      <c r="D14" s="730">
        <v>0</v>
      </c>
      <c r="E14" s="730">
        <v>0</v>
      </c>
      <c r="F14" s="730">
        <v>0</v>
      </c>
      <c r="G14" s="730">
        <v>0</v>
      </c>
      <c r="H14" s="730">
        <v>0</v>
      </c>
      <c r="I14" s="730">
        <v>0</v>
      </c>
      <c r="J14" s="731">
        <f t="shared" si="0"/>
        <v>0</v>
      </c>
      <c r="L14" s="9"/>
    </row>
    <row r="15" spans="1:12" ht="15">
      <c r="A15" s="728" t="s">
        <v>677</v>
      </c>
      <c r="B15" s="729" t="s">
        <v>676</v>
      </c>
      <c r="C15" s="730">
        <f>24050-960</f>
        <v>23090</v>
      </c>
      <c r="D15" s="730">
        <f>53010-2120</f>
        <v>50890</v>
      </c>
      <c r="E15" s="730">
        <f>54180-2160</f>
        <v>52020</v>
      </c>
      <c r="F15" s="730">
        <f>38040-1520</f>
        <v>36520</v>
      </c>
      <c r="G15" s="730">
        <f>45180-1800</f>
        <v>43380</v>
      </c>
      <c r="H15" s="730">
        <f>27260-1090</f>
        <v>26170</v>
      </c>
      <c r="I15" s="730">
        <f>28050-1120</f>
        <v>26930</v>
      </c>
      <c r="J15" s="731">
        <f t="shared" si="0"/>
        <v>259000</v>
      </c>
      <c r="L15" s="9"/>
    </row>
    <row r="16" spans="1:12" ht="15">
      <c r="A16" s="728" t="s">
        <v>679</v>
      </c>
      <c r="B16" s="729" t="s">
        <v>678</v>
      </c>
      <c r="C16" s="730">
        <f>10070-400</f>
        <v>9670</v>
      </c>
      <c r="D16" s="730">
        <f>40200-1600</f>
        <v>38600</v>
      </c>
      <c r="E16" s="730">
        <f>45710-1820</f>
        <v>43890</v>
      </c>
      <c r="F16" s="730">
        <f>13770-550</f>
        <v>13220</v>
      </c>
      <c r="G16" s="730">
        <f>16660-660</f>
        <v>16000</v>
      </c>
      <c r="H16" s="730">
        <f>9140-360</f>
        <v>8780</v>
      </c>
      <c r="I16" s="730">
        <f>20510-820</f>
        <v>19690</v>
      </c>
      <c r="J16" s="731">
        <f t="shared" si="0"/>
        <v>149850</v>
      </c>
      <c r="L16" s="9"/>
    </row>
    <row r="17" spans="1:12" ht="15">
      <c r="A17" s="728" t="s">
        <v>680</v>
      </c>
      <c r="B17" s="729" t="s">
        <v>728</v>
      </c>
      <c r="C17" s="730">
        <f>22640-900</f>
        <v>21740</v>
      </c>
      <c r="D17" s="730">
        <f>27510-1100</f>
        <v>26410</v>
      </c>
      <c r="E17" s="730">
        <f>11280-450</f>
        <v>10830</v>
      </c>
      <c r="F17" s="730">
        <f>6440-250</f>
        <v>6190</v>
      </c>
      <c r="G17" s="730">
        <f>36250-1450</f>
        <v>34800</v>
      </c>
      <c r="H17" s="730">
        <f>23780-950</f>
        <v>22830</v>
      </c>
      <c r="I17" s="730">
        <f>10220-410</f>
        <v>9810</v>
      </c>
      <c r="J17" s="731">
        <f t="shared" si="0"/>
        <v>132610</v>
      </c>
      <c r="L17" s="9"/>
    </row>
    <row r="18" spans="1:12" ht="15">
      <c r="A18" s="728" t="s">
        <v>681</v>
      </c>
      <c r="B18" s="729" t="s">
        <v>730</v>
      </c>
      <c r="C18" s="730">
        <f>6500-260</f>
        <v>6240</v>
      </c>
      <c r="D18" s="730">
        <f>40150-1600</f>
        <v>38550</v>
      </c>
      <c r="E18" s="730">
        <f>46590-1860</f>
        <v>44730</v>
      </c>
      <c r="F18" s="730">
        <f>44530-1780</f>
        <v>42750</v>
      </c>
      <c r="G18" s="730">
        <f>39260-1570</f>
        <v>37690</v>
      </c>
      <c r="H18" s="730">
        <f>15070-600</f>
        <v>14470</v>
      </c>
      <c r="I18" s="730">
        <f>18020-720</f>
        <v>17300</v>
      </c>
      <c r="J18" s="731">
        <f t="shared" si="0"/>
        <v>201730</v>
      </c>
      <c r="L18" s="9"/>
    </row>
    <row r="19" spans="1:12" ht="15">
      <c r="A19" s="728" t="s">
        <v>725</v>
      </c>
      <c r="B19" s="729" t="s">
        <v>731</v>
      </c>
      <c r="C19" s="730">
        <f>58710-2340</f>
        <v>56370</v>
      </c>
      <c r="D19" s="730">
        <f>68970-2750</f>
        <v>66220</v>
      </c>
      <c r="E19" s="730">
        <f>77550-3100</f>
        <v>74450</v>
      </c>
      <c r="F19" s="730">
        <f>43860-1750</f>
        <v>42110</v>
      </c>
      <c r="G19" s="730">
        <f>62400-2490</f>
        <v>59910</v>
      </c>
      <c r="H19" s="730">
        <f>38370-1530</f>
        <v>36840</v>
      </c>
      <c r="I19" s="730">
        <f>37560-1500</f>
        <v>36060</v>
      </c>
      <c r="J19" s="731">
        <f t="shared" si="0"/>
        <v>371960</v>
      </c>
      <c r="L19" s="9"/>
    </row>
    <row r="20" spans="1:12" ht="15">
      <c r="A20" s="728" t="s">
        <v>729</v>
      </c>
      <c r="B20" s="729" t="s">
        <v>732</v>
      </c>
      <c r="C20" s="730">
        <f>26850-1070</f>
        <v>25780</v>
      </c>
      <c r="D20" s="730">
        <f>54100-2160</f>
        <v>51940</v>
      </c>
      <c r="E20" s="730">
        <f>19150-760</f>
        <v>18390</v>
      </c>
      <c r="F20" s="730">
        <f>34200-1360</f>
        <v>32840</v>
      </c>
      <c r="G20" s="730">
        <f>31990-1280</f>
        <v>30710</v>
      </c>
      <c r="H20" s="730">
        <f>36530-1460</f>
        <v>35070</v>
      </c>
      <c r="I20" s="730">
        <f>25270-1010</f>
        <v>24260</v>
      </c>
      <c r="J20" s="731">
        <f t="shared" si="0"/>
        <v>218990</v>
      </c>
      <c r="L20" s="9"/>
    </row>
    <row r="21" spans="1:12" ht="15">
      <c r="A21" s="728" t="s">
        <v>733</v>
      </c>
      <c r="B21" s="729" t="s">
        <v>735</v>
      </c>
      <c r="C21" s="730">
        <f>3500-140</f>
        <v>3360</v>
      </c>
      <c r="D21" s="730">
        <f>7140-280</f>
        <v>6860</v>
      </c>
      <c r="E21" s="730">
        <f>7950-310</f>
        <v>7640</v>
      </c>
      <c r="F21" s="730">
        <f>4480-180</f>
        <v>4300</v>
      </c>
      <c r="G21" s="730">
        <f>9110-360</f>
        <v>8750</v>
      </c>
      <c r="H21" s="730">
        <f>4750-190</f>
        <v>4560</v>
      </c>
      <c r="I21" s="730">
        <f>4230-160</f>
        <v>4070</v>
      </c>
      <c r="J21" s="731">
        <f t="shared" si="0"/>
        <v>39540</v>
      </c>
      <c r="L21" s="9"/>
    </row>
    <row r="22" spans="1:12" ht="15">
      <c r="A22" s="728" t="s">
        <v>734</v>
      </c>
      <c r="B22" s="729" t="s">
        <v>736</v>
      </c>
      <c r="C22" s="730">
        <v>0</v>
      </c>
      <c r="D22" s="730">
        <v>0</v>
      </c>
      <c r="E22" s="730">
        <v>0</v>
      </c>
      <c r="F22" s="730">
        <v>0</v>
      </c>
      <c r="G22" s="730">
        <v>0</v>
      </c>
      <c r="H22" s="730">
        <v>0</v>
      </c>
      <c r="I22" s="730">
        <v>0</v>
      </c>
      <c r="J22" s="731">
        <f t="shared" si="0"/>
        <v>0</v>
      </c>
      <c r="L22" s="9"/>
    </row>
    <row r="23" spans="1:10" ht="15">
      <c r="A23" s="732"/>
      <c r="B23" s="725" t="s">
        <v>638</v>
      </c>
      <c r="C23" s="731">
        <f>SUM(C9:C22)</f>
        <v>406930</v>
      </c>
      <c r="D23" s="731">
        <f aca="true" t="shared" si="1" ref="D23:J23">SUM(D9:D22)</f>
        <v>826180</v>
      </c>
      <c r="E23" s="731">
        <f t="shared" si="1"/>
        <v>827080</v>
      </c>
      <c r="F23" s="731">
        <f t="shared" si="1"/>
        <v>691000</v>
      </c>
      <c r="G23" s="731">
        <f t="shared" si="1"/>
        <v>742620</v>
      </c>
      <c r="H23" s="731">
        <f t="shared" si="1"/>
        <v>433120</v>
      </c>
      <c r="I23" s="731">
        <f t="shared" si="1"/>
        <v>466470</v>
      </c>
      <c r="J23" s="731">
        <f t="shared" si="1"/>
        <v>4393400</v>
      </c>
    </row>
    <row r="24" spans="1:10" ht="14.25">
      <c r="A24" s="722"/>
      <c r="B24" s="722"/>
      <c r="C24" s="722"/>
      <c r="D24" s="722"/>
      <c r="E24" s="722"/>
      <c r="F24" s="722"/>
      <c r="G24" s="722"/>
      <c r="H24" s="722"/>
      <c r="I24" s="722"/>
      <c r="J24" s="722"/>
    </row>
    <row r="25" spans="1:10" ht="15">
      <c r="A25" s="724" t="s">
        <v>621</v>
      </c>
      <c r="B25" s="725" t="s">
        <v>998</v>
      </c>
      <c r="C25" s="724" t="s">
        <v>701</v>
      </c>
      <c r="D25" s="724" t="s">
        <v>1027</v>
      </c>
      <c r="E25" s="724" t="s">
        <v>80</v>
      </c>
      <c r="F25" s="724" t="s">
        <v>704</v>
      </c>
      <c r="G25" s="724" t="s">
        <v>155</v>
      </c>
      <c r="H25" s="724" t="s">
        <v>638</v>
      </c>
      <c r="I25" s="722"/>
      <c r="J25" s="733"/>
    </row>
    <row r="26" spans="1:10" ht="15">
      <c r="A26" s="724"/>
      <c r="B26" s="726"/>
      <c r="C26" s="724" t="s">
        <v>1030</v>
      </c>
      <c r="D26" s="724" t="s">
        <v>1031</v>
      </c>
      <c r="E26" s="724" t="s">
        <v>1034</v>
      </c>
      <c r="F26" s="724" t="s">
        <v>1032</v>
      </c>
      <c r="G26" s="724" t="s">
        <v>23</v>
      </c>
      <c r="H26" s="724"/>
      <c r="I26" s="722"/>
      <c r="J26" s="722"/>
    </row>
    <row r="27" spans="1:10" ht="15">
      <c r="A27" s="727" t="s">
        <v>999</v>
      </c>
      <c r="B27" s="722"/>
      <c r="C27" s="722"/>
      <c r="D27" s="722"/>
      <c r="E27" s="722"/>
      <c r="F27" s="722"/>
      <c r="G27" s="722"/>
      <c r="H27" s="722"/>
      <c r="I27" s="722"/>
      <c r="J27" s="734"/>
    </row>
    <row r="28" spans="1:10" ht="15">
      <c r="A28" s="728" t="s">
        <v>666</v>
      </c>
      <c r="B28" s="729" t="s">
        <v>667</v>
      </c>
      <c r="C28" s="730">
        <f>50190-2000</f>
        <v>48190</v>
      </c>
      <c r="D28" s="730">
        <f>5860-230</f>
        <v>5630</v>
      </c>
      <c r="E28" s="730">
        <f>23150-920</f>
        <v>22230</v>
      </c>
      <c r="F28" s="730">
        <f>7300-290</f>
        <v>7010</v>
      </c>
      <c r="G28" s="730">
        <f>4790-190</f>
        <v>4600</v>
      </c>
      <c r="H28" s="731">
        <f>SUM(C28:G28)</f>
        <v>87660</v>
      </c>
      <c r="I28" s="722"/>
      <c r="J28" s="734"/>
    </row>
    <row r="29" spans="1:10" ht="15">
      <c r="A29" s="728" t="s">
        <v>668</v>
      </c>
      <c r="B29" s="729" t="s">
        <v>669</v>
      </c>
      <c r="C29" s="730">
        <f>7590-300</f>
        <v>7290</v>
      </c>
      <c r="D29" s="730">
        <v>170</v>
      </c>
      <c r="E29" s="730">
        <f>2550-100</f>
        <v>2450</v>
      </c>
      <c r="F29" s="730">
        <f>1010-40</f>
        <v>970</v>
      </c>
      <c r="G29" s="730">
        <v>0</v>
      </c>
      <c r="H29" s="731">
        <f aca="true" t="shared" si="2" ref="H29:H41">SUM(C29:G29)</f>
        <v>10880</v>
      </c>
      <c r="I29" s="722"/>
      <c r="J29" s="734"/>
    </row>
    <row r="30" spans="1:10" ht="15">
      <c r="A30" s="728" t="s">
        <v>670</v>
      </c>
      <c r="B30" s="729" t="s">
        <v>726</v>
      </c>
      <c r="C30" s="730">
        <v>0</v>
      </c>
      <c r="D30" s="730">
        <v>0</v>
      </c>
      <c r="E30" s="730">
        <v>0</v>
      </c>
      <c r="F30" s="730">
        <v>0</v>
      </c>
      <c r="G30" s="730">
        <v>0</v>
      </c>
      <c r="H30" s="731">
        <f t="shared" si="2"/>
        <v>0</v>
      </c>
      <c r="I30" s="722"/>
      <c r="J30" s="734"/>
    </row>
    <row r="31" spans="1:10" ht="15">
      <c r="A31" s="728" t="s">
        <v>672</v>
      </c>
      <c r="B31" s="729" t="s">
        <v>671</v>
      </c>
      <c r="C31" s="730">
        <v>0</v>
      </c>
      <c r="D31" s="730">
        <v>0</v>
      </c>
      <c r="E31" s="730">
        <v>0</v>
      </c>
      <c r="F31" s="730">
        <v>0</v>
      </c>
      <c r="G31" s="730">
        <v>0</v>
      </c>
      <c r="H31" s="731">
        <f t="shared" si="2"/>
        <v>0</v>
      </c>
      <c r="I31" s="722"/>
      <c r="J31" s="734"/>
    </row>
    <row r="32" spans="1:10" ht="15">
      <c r="A32" s="728" t="s">
        <v>673</v>
      </c>
      <c r="B32" s="729" t="s">
        <v>674</v>
      </c>
      <c r="C32" s="730">
        <f>50840-2030</f>
        <v>48810</v>
      </c>
      <c r="D32" s="730">
        <f>3370-130</f>
        <v>3240</v>
      </c>
      <c r="E32" s="730">
        <f>31880-1270</f>
        <v>30610</v>
      </c>
      <c r="F32" s="730">
        <f>7310-290</f>
        <v>7020</v>
      </c>
      <c r="G32" s="730">
        <f>3050-120</f>
        <v>2930</v>
      </c>
      <c r="H32" s="731">
        <f t="shared" si="2"/>
        <v>92610</v>
      </c>
      <c r="I32" s="722"/>
      <c r="J32" s="734"/>
    </row>
    <row r="33" spans="1:10" ht="15">
      <c r="A33" s="728" t="s">
        <v>675</v>
      </c>
      <c r="B33" s="729" t="s">
        <v>727</v>
      </c>
      <c r="C33" s="730">
        <v>0</v>
      </c>
      <c r="D33" s="730">
        <v>0</v>
      </c>
      <c r="E33" s="730">
        <v>0</v>
      </c>
      <c r="F33" s="730">
        <v>0</v>
      </c>
      <c r="G33" s="730">
        <v>0</v>
      </c>
      <c r="H33" s="731">
        <f t="shared" si="2"/>
        <v>0</v>
      </c>
      <c r="I33" s="722"/>
      <c r="J33" s="734"/>
    </row>
    <row r="34" spans="1:10" ht="15">
      <c r="A34" s="728" t="s">
        <v>677</v>
      </c>
      <c r="B34" s="729" t="s">
        <v>676</v>
      </c>
      <c r="C34" s="730">
        <f>9510-380</f>
        <v>9130</v>
      </c>
      <c r="D34" s="730">
        <f>810-30</f>
        <v>780</v>
      </c>
      <c r="E34" s="730">
        <f>4830-190</f>
        <v>4640</v>
      </c>
      <c r="F34" s="730">
        <f>1490-60</f>
        <v>1430</v>
      </c>
      <c r="G34" s="730">
        <f>680-30</f>
        <v>650</v>
      </c>
      <c r="H34" s="731">
        <f t="shared" si="2"/>
        <v>16630</v>
      </c>
      <c r="I34" s="722"/>
      <c r="J34" s="734"/>
    </row>
    <row r="35" spans="1:10" ht="15">
      <c r="A35" s="728" t="s">
        <v>679</v>
      </c>
      <c r="B35" s="729" t="s">
        <v>678</v>
      </c>
      <c r="C35" s="730">
        <f>3790-150</f>
        <v>3640</v>
      </c>
      <c r="D35" s="730">
        <f>330-10</f>
        <v>320</v>
      </c>
      <c r="E35" s="730">
        <f>4960-190</f>
        <v>4770</v>
      </c>
      <c r="F35" s="730">
        <f>5730-220</f>
        <v>5510</v>
      </c>
      <c r="G35" s="730">
        <f>1110-40</f>
        <v>1070</v>
      </c>
      <c r="H35" s="731">
        <f t="shared" si="2"/>
        <v>15310</v>
      </c>
      <c r="I35" s="722"/>
      <c r="J35" s="734"/>
    </row>
    <row r="36" spans="1:10" ht="15">
      <c r="A36" s="728" t="s">
        <v>680</v>
      </c>
      <c r="B36" s="729" t="s">
        <v>728</v>
      </c>
      <c r="C36" s="730">
        <f>5940-230</f>
        <v>5710</v>
      </c>
      <c r="D36" s="730">
        <f>460-20</f>
        <v>440</v>
      </c>
      <c r="E36" s="730">
        <f>5820-230</f>
        <v>5590</v>
      </c>
      <c r="F36" s="730">
        <f>2740-110</f>
        <v>2630</v>
      </c>
      <c r="G36" s="730">
        <f>790-30</f>
        <v>760</v>
      </c>
      <c r="H36" s="731">
        <f t="shared" si="2"/>
        <v>15130</v>
      </c>
      <c r="I36" s="722"/>
      <c r="J36" s="734"/>
    </row>
    <row r="37" spans="1:10" ht="15">
      <c r="A37" s="728" t="s">
        <v>681</v>
      </c>
      <c r="B37" s="729" t="s">
        <v>730</v>
      </c>
      <c r="C37" s="730">
        <f>13900-550</f>
        <v>13350</v>
      </c>
      <c r="D37" s="730">
        <f>2230-80</f>
        <v>2150</v>
      </c>
      <c r="E37" s="730">
        <f>8180-320</f>
        <v>7860</v>
      </c>
      <c r="F37" s="730">
        <f>1930-70</f>
        <v>1860</v>
      </c>
      <c r="G37" s="730">
        <f>2230-90</f>
        <v>2140</v>
      </c>
      <c r="H37" s="731">
        <f t="shared" si="2"/>
        <v>27360</v>
      </c>
      <c r="I37" s="722"/>
      <c r="J37" s="734"/>
    </row>
    <row r="38" spans="1:10" ht="15">
      <c r="A38" s="728" t="s">
        <v>725</v>
      </c>
      <c r="B38" s="729" t="s">
        <v>731</v>
      </c>
      <c r="C38" s="730">
        <f>13960-550</f>
        <v>13410</v>
      </c>
      <c r="D38" s="730">
        <f>780-30</f>
        <v>750</v>
      </c>
      <c r="E38" s="730">
        <f>840-30</f>
        <v>810</v>
      </c>
      <c r="F38" s="730">
        <f>6420-250</f>
        <v>6170</v>
      </c>
      <c r="G38" s="730">
        <f>900-40</f>
        <v>860</v>
      </c>
      <c r="H38" s="731">
        <f t="shared" si="2"/>
        <v>22000</v>
      </c>
      <c r="I38" s="722"/>
      <c r="J38" s="734"/>
    </row>
    <row r="39" spans="1:10" ht="15">
      <c r="A39" s="728" t="s">
        <v>729</v>
      </c>
      <c r="B39" s="729" t="s">
        <v>732</v>
      </c>
      <c r="C39" s="730">
        <f>6950-280</f>
        <v>6670</v>
      </c>
      <c r="D39" s="730">
        <f>390-20</f>
        <v>370</v>
      </c>
      <c r="E39" s="730">
        <v>200</v>
      </c>
      <c r="F39" s="730">
        <f>5080-200</f>
        <v>4880</v>
      </c>
      <c r="G39" s="730">
        <f>470-20</f>
        <v>450</v>
      </c>
      <c r="H39" s="731">
        <f t="shared" si="2"/>
        <v>12570</v>
      </c>
      <c r="I39" s="722"/>
      <c r="J39" s="734"/>
    </row>
    <row r="40" spans="1:10" ht="15">
      <c r="A40" s="728" t="s">
        <v>733</v>
      </c>
      <c r="B40" s="729" t="s">
        <v>735</v>
      </c>
      <c r="C40" s="730">
        <f>1280-50</f>
        <v>1230</v>
      </c>
      <c r="D40" s="730">
        <v>90</v>
      </c>
      <c r="E40" s="730">
        <v>100</v>
      </c>
      <c r="F40" s="730">
        <f>1100-40</f>
        <v>1060</v>
      </c>
      <c r="G40" s="730">
        <v>100</v>
      </c>
      <c r="H40" s="731">
        <f t="shared" si="2"/>
        <v>2580</v>
      </c>
      <c r="I40" s="722"/>
      <c r="J40" s="734"/>
    </row>
    <row r="41" spans="1:10" ht="15">
      <c r="A41" s="728" t="s">
        <v>734</v>
      </c>
      <c r="B41" s="729" t="s">
        <v>736</v>
      </c>
      <c r="C41" s="730">
        <v>0</v>
      </c>
      <c r="D41" s="730">
        <v>0</v>
      </c>
      <c r="E41" s="730">
        <v>0</v>
      </c>
      <c r="F41" s="730">
        <v>0</v>
      </c>
      <c r="G41" s="730">
        <v>0</v>
      </c>
      <c r="H41" s="731">
        <f t="shared" si="2"/>
        <v>0</v>
      </c>
      <c r="I41" s="722"/>
      <c r="J41" s="734"/>
    </row>
    <row r="42" spans="1:10" ht="15">
      <c r="A42" s="732"/>
      <c r="B42" s="725" t="s">
        <v>638</v>
      </c>
      <c r="C42" s="731">
        <f aca="true" t="shared" si="3" ref="C42:H42">SUM(C28:C41)</f>
        <v>157430</v>
      </c>
      <c r="D42" s="731">
        <f t="shared" si="3"/>
        <v>13940</v>
      </c>
      <c r="E42" s="731">
        <f t="shared" si="3"/>
        <v>79260</v>
      </c>
      <c r="F42" s="731">
        <f t="shared" si="3"/>
        <v>38540</v>
      </c>
      <c r="G42" s="731">
        <f t="shared" si="3"/>
        <v>13560</v>
      </c>
      <c r="H42" s="731">
        <f t="shared" si="3"/>
        <v>302730</v>
      </c>
      <c r="I42" s="722"/>
      <c r="J42" s="734"/>
    </row>
    <row r="44" spans="4:10" ht="12.75">
      <c r="D44" s="9"/>
      <c r="E44" s="9"/>
      <c r="F44" s="9"/>
      <c r="G44" s="9"/>
      <c r="H44" s="9"/>
      <c r="I44" s="9"/>
      <c r="J44" s="33" t="s">
        <v>363</v>
      </c>
    </row>
    <row r="45" spans="1:10" ht="12.75">
      <c r="A45" s="788" t="str">
        <f>+A2</f>
        <v>PRESUPUESTO 2008</v>
      </c>
      <c r="B45" s="778"/>
      <c r="C45" s="778"/>
      <c r="D45" s="778"/>
      <c r="E45" s="778"/>
      <c r="F45" s="778"/>
      <c r="G45" s="778"/>
      <c r="H45" s="778"/>
      <c r="I45" s="778"/>
      <c r="J45" s="778"/>
    </row>
    <row r="46" spans="1:2" ht="12.75">
      <c r="A46" s="33" t="str">
        <f>+A3</f>
        <v>Juris.:</v>
      </c>
      <c r="B46" s="14" t="s">
        <v>1024</v>
      </c>
    </row>
    <row r="47" spans="1:2" ht="12.75">
      <c r="A47" s="33" t="s">
        <v>1012</v>
      </c>
      <c r="B47" s="14"/>
    </row>
    <row r="49" spans="1:11" ht="12.75">
      <c r="A49" s="157" t="s">
        <v>621</v>
      </c>
      <c r="B49" s="160" t="s">
        <v>1001</v>
      </c>
      <c r="C49" s="157" t="s">
        <v>1009</v>
      </c>
      <c r="D49" s="157" t="s">
        <v>1026</v>
      </c>
      <c r="E49" s="157" t="s">
        <v>709</v>
      </c>
      <c r="F49" s="157" t="s">
        <v>701</v>
      </c>
      <c r="G49" s="157" t="s">
        <v>1027</v>
      </c>
      <c r="H49" s="157" t="s">
        <v>80</v>
      </c>
      <c r="I49" s="157" t="s">
        <v>704</v>
      </c>
      <c r="J49" s="157" t="s">
        <v>155</v>
      </c>
      <c r="K49" s="157" t="s">
        <v>638</v>
      </c>
    </row>
    <row r="50" spans="1:13" ht="12.75">
      <c r="A50" s="157"/>
      <c r="B50" s="276"/>
      <c r="C50" s="157" t="s">
        <v>1028</v>
      </c>
      <c r="D50" s="157" t="s">
        <v>1033</v>
      </c>
      <c r="E50" s="157" t="s">
        <v>1029</v>
      </c>
      <c r="F50" s="157" t="s">
        <v>1030</v>
      </c>
      <c r="G50" s="157" t="s">
        <v>1031</v>
      </c>
      <c r="H50" s="157" t="s">
        <v>1034</v>
      </c>
      <c r="I50" s="157" t="s">
        <v>1032</v>
      </c>
      <c r="J50" s="157" t="s">
        <v>23</v>
      </c>
      <c r="K50" s="157"/>
      <c r="M50" s="564"/>
    </row>
    <row r="51" spans="1:13" ht="12.75">
      <c r="A51" s="277" t="s">
        <v>1000</v>
      </c>
      <c r="K51" s="48"/>
      <c r="M51" s="48"/>
    </row>
    <row r="52" spans="1:13" ht="12.75">
      <c r="A52" s="193">
        <v>1</v>
      </c>
      <c r="B52" s="200" t="s">
        <v>834</v>
      </c>
      <c r="C52" s="258"/>
      <c r="D52" s="258"/>
      <c r="E52" s="258"/>
      <c r="F52" s="258"/>
      <c r="G52" s="258"/>
      <c r="H52" s="258"/>
      <c r="I52" s="258"/>
      <c r="J52" s="258"/>
      <c r="K52" s="158">
        <f>SUM(C52:J52)</f>
        <v>0</v>
      </c>
      <c r="M52" s="9"/>
    </row>
    <row r="53" spans="1:13" ht="12.75">
      <c r="A53" s="193">
        <v>2</v>
      </c>
      <c r="B53" s="200" t="s">
        <v>835</v>
      </c>
      <c r="C53" s="258"/>
      <c r="D53" s="258"/>
      <c r="E53" s="258"/>
      <c r="F53" s="258"/>
      <c r="G53" s="258"/>
      <c r="H53" s="258"/>
      <c r="I53" s="258"/>
      <c r="J53" s="258"/>
      <c r="K53" s="158">
        <f aca="true" t="shared" si="4" ref="K53:K70">SUM(C53:J53)</f>
        <v>0</v>
      </c>
      <c r="M53" s="9"/>
    </row>
    <row r="54" spans="1:13" ht="12.75">
      <c r="A54" s="193">
        <v>3</v>
      </c>
      <c r="B54" s="200" t="s">
        <v>836</v>
      </c>
      <c r="C54" s="258"/>
      <c r="D54" s="258"/>
      <c r="E54" s="258"/>
      <c r="F54" s="258"/>
      <c r="G54" s="258">
        <v>200</v>
      </c>
      <c r="H54" s="258"/>
      <c r="I54" s="258"/>
      <c r="J54" s="258"/>
      <c r="K54" s="158">
        <f t="shared" si="4"/>
        <v>200</v>
      </c>
      <c r="M54" s="9"/>
    </row>
    <row r="55" spans="1:13" ht="12.75">
      <c r="A55" s="193">
        <v>4</v>
      </c>
      <c r="B55" s="200" t="s">
        <v>837</v>
      </c>
      <c r="C55" s="258"/>
      <c r="D55" s="258"/>
      <c r="E55" s="258"/>
      <c r="F55" s="258">
        <f>8300-1000</f>
        <v>7300</v>
      </c>
      <c r="G55" s="258">
        <v>4000</v>
      </c>
      <c r="H55" s="258"/>
      <c r="I55" s="258"/>
      <c r="J55" s="258">
        <f>21000-5300-8000</f>
        <v>7700</v>
      </c>
      <c r="K55" s="158">
        <f t="shared" si="4"/>
        <v>19000</v>
      </c>
      <c r="M55" s="9"/>
    </row>
    <row r="56" spans="1:13" ht="12.75">
      <c r="A56" s="193">
        <v>5</v>
      </c>
      <c r="B56" s="200" t="s">
        <v>838</v>
      </c>
      <c r="C56" s="258"/>
      <c r="D56" s="258"/>
      <c r="E56" s="258"/>
      <c r="F56" s="258"/>
      <c r="G56" s="258">
        <v>4750</v>
      </c>
      <c r="H56" s="258">
        <v>1000</v>
      </c>
      <c r="I56" s="258">
        <v>1000</v>
      </c>
      <c r="J56" s="258">
        <f>50000-9080-10000</f>
        <v>30920</v>
      </c>
      <c r="K56" s="158">
        <f t="shared" si="4"/>
        <v>37670</v>
      </c>
      <c r="M56" s="9"/>
    </row>
    <row r="57" spans="1:13" ht="12.75">
      <c r="A57" s="193">
        <v>6</v>
      </c>
      <c r="B57" s="200" t="s">
        <v>839</v>
      </c>
      <c r="C57" s="258"/>
      <c r="D57" s="258"/>
      <c r="E57" s="258"/>
      <c r="F57" s="258"/>
      <c r="G57" s="258"/>
      <c r="H57" s="258"/>
      <c r="I57" s="258"/>
      <c r="J57" s="258"/>
      <c r="K57" s="158">
        <f t="shared" si="4"/>
        <v>0</v>
      </c>
      <c r="M57" s="9"/>
    </row>
    <row r="58" spans="1:13" ht="12.75">
      <c r="A58" s="193">
        <v>7</v>
      </c>
      <c r="B58" s="200" t="s">
        <v>840</v>
      </c>
      <c r="C58" s="258"/>
      <c r="D58" s="258"/>
      <c r="E58" s="258"/>
      <c r="F58" s="258"/>
      <c r="G58" s="258"/>
      <c r="H58" s="258"/>
      <c r="I58" s="258"/>
      <c r="J58" s="258"/>
      <c r="K58" s="158">
        <f t="shared" si="4"/>
        <v>0</v>
      </c>
      <c r="M58" s="9"/>
    </row>
    <row r="59" spans="1:13" ht="12.75">
      <c r="A59" s="193">
        <v>8</v>
      </c>
      <c r="B59" s="200" t="s">
        <v>842</v>
      </c>
      <c r="C59" s="258"/>
      <c r="D59" s="258"/>
      <c r="E59" s="258"/>
      <c r="F59" s="258"/>
      <c r="G59" s="258"/>
      <c r="H59" s="258"/>
      <c r="I59" s="258"/>
      <c r="J59" s="258"/>
      <c r="K59" s="158">
        <f t="shared" si="4"/>
        <v>0</v>
      </c>
      <c r="M59" s="9"/>
    </row>
    <row r="60" spans="1:13" ht="12.75">
      <c r="A60" s="193">
        <v>9</v>
      </c>
      <c r="B60" s="200" t="s">
        <v>843</v>
      </c>
      <c r="C60" s="258"/>
      <c r="D60" s="258"/>
      <c r="E60" s="258"/>
      <c r="F60" s="258"/>
      <c r="G60" s="258"/>
      <c r="H60" s="258"/>
      <c r="I60" s="258"/>
      <c r="J60" s="258"/>
      <c r="K60" s="158">
        <f t="shared" si="4"/>
        <v>0</v>
      </c>
      <c r="M60" s="9"/>
    </row>
    <row r="61" spans="1:13" ht="12.75">
      <c r="A61" s="193">
        <v>10</v>
      </c>
      <c r="B61" s="200" t="s">
        <v>844</v>
      </c>
      <c r="C61" s="258"/>
      <c r="D61" s="258"/>
      <c r="E61" s="258"/>
      <c r="F61" s="258"/>
      <c r="G61" s="258"/>
      <c r="H61" s="258">
        <v>300</v>
      </c>
      <c r="I61" s="258"/>
      <c r="J61" s="258"/>
      <c r="K61" s="158">
        <f t="shared" si="4"/>
        <v>300</v>
      </c>
      <c r="M61" s="9"/>
    </row>
    <row r="62" spans="1:13" ht="12.75">
      <c r="A62" s="193">
        <v>11</v>
      </c>
      <c r="B62" s="200" t="s">
        <v>845</v>
      </c>
      <c r="C62" s="258"/>
      <c r="D62" s="258"/>
      <c r="E62" s="258"/>
      <c r="F62" s="258"/>
      <c r="G62" s="258">
        <v>3850</v>
      </c>
      <c r="H62" s="258"/>
      <c r="I62" s="258"/>
      <c r="J62" s="258"/>
      <c r="K62" s="158">
        <f t="shared" si="4"/>
        <v>3850</v>
      </c>
      <c r="M62" s="9"/>
    </row>
    <row r="63" spans="1:13" ht="12.75">
      <c r="A63" s="193">
        <v>12</v>
      </c>
      <c r="B63" s="200" t="s">
        <v>846</v>
      </c>
      <c r="C63" s="258"/>
      <c r="D63" s="258"/>
      <c r="E63" s="258"/>
      <c r="F63" s="258"/>
      <c r="G63" s="258"/>
      <c r="H63" s="258"/>
      <c r="I63" s="258"/>
      <c r="J63" s="258"/>
      <c r="K63" s="158">
        <f t="shared" si="4"/>
        <v>0</v>
      </c>
      <c r="M63" s="9"/>
    </row>
    <row r="64" spans="1:13" ht="12.75">
      <c r="A64" s="193">
        <v>13</v>
      </c>
      <c r="B64" s="200" t="s">
        <v>847</v>
      </c>
      <c r="C64" s="258"/>
      <c r="D64" s="258"/>
      <c r="E64" s="258"/>
      <c r="F64" s="258"/>
      <c r="G64" s="258"/>
      <c r="H64" s="258"/>
      <c r="I64" s="258"/>
      <c r="J64" s="258"/>
      <c r="K64" s="158">
        <f t="shared" si="4"/>
        <v>0</v>
      </c>
      <c r="M64" s="9"/>
    </row>
    <row r="65" spans="1:13" ht="12.75">
      <c r="A65" s="193">
        <v>14</v>
      </c>
      <c r="B65" s="200" t="s">
        <v>848</v>
      </c>
      <c r="C65" s="258"/>
      <c r="D65" s="258"/>
      <c r="E65" s="258"/>
      <c r="F65" s="258"/>
      <c r="G65" s="258"/>
      <c r="H65" s="258"/>
      <c r="I65" s="258">
        <f>300000-48000-62000</f>
        <v>190000</v>
      </c>
      <c r="J65" s="258"/>
      <c r="K65" s="158">
        <f t="shared" si="4"/>
        <v>190000</v>
      </c>
      <c r="M65" s="9"/>
    </row>
    <row r="66" spans="1:13" ht="12.75">
      <c r="A66" s="193">
        <v>15</v>
      </c>
      <c r="B66" s="200" t="s">
        <v>849</v>
      </c>
      <c r="C66" s="258">
        <v>1500</v>
      </c>
      <c r="D66" s="258"/>
      <c r="E66" s="258">
        <v>3000</v>
      </c>
      <c r="F66" s="258"/>
      <c r="G66" s="393">
        <f>10000-5000</f>
        <v>5000</v>
      </c>
      <c r="H66" s="258">
        <v>500</v>
      </c>
      <c r="I66" s="258">
        <v>18000</v>
      </c>
      <c r="J66" s="258">
        <f>120000-24480-17000</f>
        <v>78520</v>
      </c>
      <c r="K66" s="158">
        <f t="shared" si="4"/>
        <v>106520</v>
      </c>
      <c r="M66" s="9"/>
    </row>
    <row r="67" spans="1:13" ht="12.75">
      <c r="A67" s="193">
        <v>16</v>
      </c>
      <c r="B67" s="200" t="s">
        <v>850</v>
      </c>
      <c r="C67" s="258"/>
      <c r="D67" s="258"/>
      <c r="E67" s="258"/>
      <c r="F67" s="258"/>
      <c r="G67" s="258"/>
      <c r="H67" s="258"/>
      <c r="I67" s="258"/>
      <c r="J67" s="258"/>
      <c r="K67" s="158">
        <f t="shared" si="4"/>
        <v>0</v>
      </c>
      <c r="M67" s="9"/>
    </row>
    <row r="68" spans="1:13" ht="12.75">
      <c r="A68" s="193">
        <v>17</v>
      </c>
      <c r="B68" s="200" t="s">
        <v>851</v>
      </c>
      <c r="C68" s="258"/>
      <c r="D68" s="258"/>
      <c r="E68" s="258"/>
      <c r="F68" s="258"/>
      <c r="G68" s="258"/>
      <c r="H68" s="258"/>
      <c r="I68" s="258"/>
      <c r="J68" s="258"/>
      <c r="K68" s="158">
        <f t="shared" si="4"/>
        <v>0</v>
      </c>
      <c r="M68" s="9"/>
    </row>
    <row r="69" spans="1:13" ht="12.75">
      <c r="A69" s="193">
        <v>18</v>
      </c>
      <c r="B69" s="200" t="s">
        <v>852</v>
      </c>
      <c r="C69" s="258"/>
      <c r="D69" s="258"/>
      <c r="E69" s="258"/>
      <c r="F69" s="258"/>
      <c r="G69" s="258"/>
      <c r="H69" s="258"/>
      <c r="I69" s="258"/>
      <c r="J69" s="258"/>
      <c r="K69" s="158">
        <f t="shared" si="4"/>
        <v>0</v>
      </c>
      <c r="M69" s="9"/>
    </row>
    <row r="70" spans="1:13" ht="12.75">
      <c r="A70" s="193">
        <v>19</v>
      </c>
      <c r="B70" s="200" t="s">
        <v>853</v>
      </c>
      <c r="C70" s="258"/>
      <c r="D70" s="258"/>
      <c r="E70" s="258"/>
      <c r="F70" s="258"/>
      <c r="G70" s="258"/>
      <c r="H70" s="258"/>
      <c r="I70" s="258"/>
      <c r="J70" s="258"/>
      <c r="K70" s="158">
        <f t="shared" si="4"/>
        <v>0</v>
      </c>
      <c r="M70" s="9"/>
    </row>
    <row r="71" spans="1:11" ht="12.75">
      <c r="A71" s="159"/>
      <c r="B71" s="160" t="s">
        <v>638</v>
      </c>
      <c r="C71" s="158">
        <f>SUM(C52:C70)</f>
        <v>1500</v>
      </c>
      <c r="D71" s="158">
        <f aca="true" t="shared" si="5" ref="D71:K71">SUM(D52:D70)</f>
        <v>0</v>
      </c>
      <c r="E71" s="158">
        <f t="shared" si="5"/>
        <v>3000</v>
      </c>
      <c r="F71" s="158">
        <f t="shared" si="5"/>
        <v>7300</v>
      </c>
      <c r="G71" s="158">
        <f t="shared" si="5"/>
        <v>17800</v>
      </c>
      <c r="H71" s="158">
        <f t="shared" si="5"/>
        <v>1800</v>
      </c>
      <c r="I71" s="158">
        <f t="shared" si="5"/>
        <v>209000</v>
      </c>
      <c r="J71" s="158">
        <f t="shared" si="5"/>
        <v>117140</v>
      </c>
      <c r="K71" s="158">
        <f t="shared" si="5"/>
        <v>357540</v>
      </c>
    </row>
    <row r="72" ht="12.75">
      <c r="K72" s="48"/>
    </row>
    <row r="73" spans="1:11" ht="12.75">
      <c r="A73" s="157" t="s">
        <v>621</v>
      </c>
      <c r="B73" s="160" t="s">
        <v>990</v>
      </c>
      <c r="C73" s="157" t="s">
        <v>1009</v>
      </c>
      <c r="D73" s="157" t="s">
        <v>1026</v>
      </c>
      <c r="E73" s="157" t="s">
        <v>709</v>
      </c>
      <c r="F73" s="157" t="s">
        <v>701</v>
      </c>
      <c r="G73" s="157" t="s">
        <v>1027</v>
      </c>
      <c r="H73" s="157" t="s">
        <v>80</v>
      </c>
      <c r="I73" s="157" t="s">
        <v>704</v>
      </c>
      <c r="J73" s="157" t="s">
        <v>155</v>
      </c>
      <c r="K73" s="157" t="s">
        <v>638</v>
      </c>
    </row>
    <row r="74" spans="1:11" ht="12.75">
      <c r="A74" s="157"/>
      <c r="B74" s="276"/>
      <c r="C74" s="157" t="s">
        <v>1028</v>
      </c>
      <c r="D74" s="157" t="s">
        <v>1033</v>
      </c>
      <c r="E74" s="157" t="s">
        <v>1029</v>
      </c>
      <c r="F74" s="157" t="s">
        <v>1030</v>
      </c>
      <c r="G74" s="157" t="s">
        <v>1031</v>
      </c>
      <c r="H74" s="157" t="s">
        <v>1034</v>
      </c>
      <c r="I74" s="157" t="s">
        <v>1032</v>
      </c>
      <c r="J74" s="157" t="s">
        <v>23</v>
      </c>
      <c r="K74" s="157"/>
    </row>
    <row r="75" spans="1:16" ht="12.75">
      <c r="A75" s="277" t="s">
        <v>1002</v>
      </c>
      <c r="K75" s="48"/>
      <c r="L75" s="48"/>
      <c r="M75" s="48"/>
      <c r="N75" s="48"/>
      <c r="O75" s="48"/>
      <c r="P75" s="48"/>
    </row>
    <row r="76" spans="1:13" ht="12.75">
      <c r="A76" s="193">
        <v>1</v>
      </c>
      <c r="B76" s="200" t="s">
        <v>854</v>
      </c>
      <c r="C76" s="258"/>
      <c r="D76" s="258"/>
      <c r="E76" s="258"/>
      <c r="F76" s="258"/>
      <c r="G76" s="258"/>
      <c r="H76" s="258">
        <f>474500-75920-127000</f>
        <v>271580</v>
      </c>
      <c r="I76" s="258"/>
      <c r="J76" s="258"/>
      <c r="K76" s="158">
        <f>SUM(C76:J76)</f>
        <v>271580</v>
      </c>
      <c r="M76" s="9"/>
    </row>
    <row r="77" spans="1:13" ht="12.75">
      <c r="A77" s="193">
        <v>2</v>
      </c>
      <c r="B77" s="200" t="s">
        <v>855</v>
      </c>
      <c r="C77" s="258"/>
      <c r="D77" s="258"/>
      <c r="E77" s="258"/>
      <c r="F77" s="258"/>
      <c r="G77" s="258"/>
      <c r="H77" s="258"/>
      <c r="I77" s="258"/>
      <c r="J77" s="258"/>
      <c r="K77" s="158">
        <f aca="true" t="shared" si="6" ref="K77:K97">SUM(C77:J77)</f>
        <v>0</v>
      </c>
      <c r="M77" s="9"/>
    </row>
    <row r="78" spans="1:13" ht="12.75">
      <c r="A78" s="193">
        <v>3</v>
      </c>
      <c r="B78" s="200" t="s">
        <v>856</v>
      </c>
      <c r="C78" s="258"/>
      <c r="D78" s="258"/>
      <c r="E78" s="258"/>
      <c r="F78" s="258">
        <v>1700</v>
      </c>
      <c r="G78" s="258">
        <v>100</v>
      </c>
      <c r="H78" s="258"/>
      <c r="I78" s="258">
        <f>500000-80280</f>
        <v>419720</v>
      </c>
      <c r="J78" s="258"/>
      <c r="K78" s="158">
        <f t="shared" si="6"/>
        <v>421520</v>
      </c>
      <c r="M78" s="9"/>
    </row>
    <row r="79" spans="1:13" ht="12.75">
      <c r="A79" s="193">
        <v>4</v>
      </c>
      <c r="B79" s="200" t="s">
        <v>857</v>
      </c>
      <c r="C79" s="258"/>
      <c r="D79" s="258"/>
      <c r="E79" s="258"/>
      <c r="F79" s="258"/>
      <c r="G79" s="258"/>
      <c r="H79" s="258"/>
      <c r="I79" s="258"/>
      <c r="J79" s="258"/>
      <c r="K79" s="158">
        <f t="shared" si="6"/>
        <v>0</v>
      </c>
      <c r="M79" s="9"/>
    </row>
    <row r="80" spans="1:13" ht="12.75">
      <c r="A80" s="193">
        <v>5</v>
      </c>
      <c r="B80" s="200" t="s">
        <v>858</v>
      </c>
      <c r="C80" s="258"/>
      <c r="D80" s="258"/>
      <c r="E80" s="258"/>
      <c r="F80" s="258"/>
      <c r="G80" s="258"/>
      <c r="H80" s="258"/>
      <c r="I80" s="258">
        <v>5000</v>
      </c>
      <c r="J80" s="258">
        <f>170000-28000-37000</f>
        <v>105000</v>
      </c>
      <c r="K80" s="158">
        <f t="shared" si="6"/>
        <v>110000</v>
      </c>
      <c r="M80" s="9"/>
    </row>
    <row r="81" spans="1:13" ht="12.75">
      <c r="A81" s="193">
        <v>6</v>
      </c>
      <c r="B81" s="200" t="s">
        <v>859</v>
      </c>
      <c r="C81" s="258">
        <f>24600-9000</f>
        <v>15600</v>
      </c>
      <c r="D81" s="258"/>
      <c r="E81" s="258"/>
      <c r="F81" s="258"/>
      <c r="G81" s="258"/>
      <c r="H81" s="258"/>
      <c r="I81" s="280"/>
      <c r="J81" s="258"/>
      <c r="K81" s="158">
        <f t="shared" si="6"/>
        <v>15600</v>
      </c>
      <c r="M81" s="9"/>
    </row>
    <row r="82" spans="1:13" ht="12.75">
      <c r="A82" s="193">
        <v>7</v>
      </c>
      <c r="B82" s="200" t="s">
        <v>860</v>
      </c>
      <c r="C82" s="258">
        <v>16810</v>
      </c>
      <c r="D82" s="258"/>
      <c r="E82" s="258"/>
      <c r="F82" s="258">
        <f>25460-8000</f>
        <v>17460</v>
      </c>
      <c r="G82" s="258">
        <v>12000</v>
      </c>
      <c r="H82" s="258">
        <v>13200</v>
      </c>
      <c r="I82" s="258"/>
      <c r="J82" s="258">
        <f>96000-26100</f>
        <v>69900</v>
      </c>
      <c r="K82" s="158">
        <f t="shared" si="6"/>
        <v>129370</v>
      </c>
      <c r="M82" s="9"/>
    </row>
    <row r="83" spans="1:13" ht="12.75">
      <c r="A83" s="193">
        <v>8</v>
      </c>
      <c r="B83" s="200" t="s">
        <v>861</v>
      </c>
      <c r="C83" s="258"/>
      <c r="D83" s="258"/>
      <c r="E83" s="280"/>
      <c r="F83" s="258">
        <v>210</v>
      </c>
      <c r="G83" s="258">
        <v>500</v>
      </c>
      <c r="H83" s="258">
        <f>303800-48720</f>
        <v>255080</v>
      </c>
      <c r="I83" s="258"/>
      <c r="J83" s="258"/>
      <c r="K83" s="158">
        <f t="shared" si="6"/>
        <v>255790</v>
      </c>
      <c r="M83" s="9"/>
    </row>
    <row r="84" spans="1:13" ht="12.75">
      <c r="A84" s="193">
        <v>9</v>
      </c>
      <c r="B84" s="200" t="s">
        <v>862</v>
      </c>
      <c r="C84" s="258">
        <v>10000</v>
      </c>
      <c r="D84" s="258"/>
      <c r="E84" s="258"/>
      <c r="F84" s="258">
        <v>8870</v>
      </c>
      <c r="G84" s="258">
        <v>3000</v>
      </c>
      <c r="H84" s="258">
        <v>3000</v>
      </c>
      <c r="I84" s="258">
        <f>40000-10300</f>
        <v>29700</v>
      </c>
      <c r="J84" s="258"/>
      <c r="K84" s="158">
        <f t="shared" si="6"/>
        <v>54570</v>
      </c>
      <c r="M84" s="9"/>
    </row>
    <row r="85" spans="1:13" ht="12.75">
      <c r="A85" s="193">
        <v>10</v>
      </c>
      <c r="B85" s="200" t="s">
        <v>863</v>
      </c>
      <c r="C85" s="258"/>
      <c r="D85" s="258"/>
      <c r="E85" s="258"/>
      <c r="F85" s="258"/>
      <c r="G85" s="258"/>
      <c r="H85" s="258"/>
      <c r="I85" s="258"/>
      <c r="J85" s="258"/>
      <c r="K85" s="158">
        <f t="shared" si="6"/>
        <v>0</v>
      </c>
      <c r="M85" s="9"/>
    </row>
    <row r="86" spans="1:13" ht="12.75">
      <c r="A86" s="193">
        <v>11</v>
      </c>
      <c r="B86" s="200" t="s">
        <v>864</v>
      </c>
      <c r="C86" s="258"/>
      <c r="D86" s="258"/>
      <c r="E86" s="258"/>
      <c r="F86" s="258"/>
      <c r="G86" s="258"/>
      <c r="H86" s="258"/>
      <c r="I86" s="258"/>
      <c r="J86" s="258"/>
      <c r="K86" s="158">
        <f t="shared" si="6"/>
        <v>0</v>
      </c>
      <c r="M86" s="9"/>
    </row>
    <row r="87" spans="1:13" ht="12.75">
      <c r="A87" s="193">
        <v>12</v>
      </c>
      <c r="B87" s="200" t="s">
        <v>865</v>
      </c>
      <c r="C87" s="258"/>
      <c r="D87" s="258"/>
      <c r="E87" s="258"/>
      <c r="F87" s="258"/>
      <c r="G87" s="258"/>
      <c r="H87" s="258"/>
      <c r="I87" s="258"/>
      <c r="J87" s="258"/>
      <c r="K87" s="158">
        <f t="shared" si="6"/>
        <v>0</v>
      </c>
      <c r="M87" s="9"/>
    </row>
    <row r="88" spans="1:13" ht="12.75">
      <c r="A88" s="193">
        <v>13</v>
      </c>
      <c r="B88" s="200" t="s">
        <v>866</v>
      </c>
      <c r="C88" s="258"/>
      <c r="D88" s="258"/>
      <c r="E88" s="258">
        <f>10000-7000</f>
        <v>3000</v>
      </c>
      <c r="F88" s="258"/>
      <c r="G88" s="258"/>
      <c r="H88" s="258"/>
      <c r="I88" s="258">
        <v>60000</v>
      </c>
      <c r="J88" s="258">
        <f>67500-22000</f>
        <v>45500</v>
      </c>
      <c r="K88" s="158">
        <f t="shared" si="6"/>
        <v>108500</v>
      </c>
      <c r="M88" s="9"/>
    </row>
    <row r="89" spans="1:13" ht="12.75">
      <c r="A89" s="193">
        <v>14</v>
      </c>
      <c r="B89" s="200" t="s">
        <v>867</v>
      </c>
      <c r="C89" s="258"/>
      <c r="D89" s="258"/>
      <c r="E89" s="258"/>
      <c r="F89" s="258"/>
      <c r="G89" s="258"/>
      <c r="H89" s="258"/>
      <c r="I89" s="258"/>
      <c r="J89" s="258"/>
      <c r="K89" s="158">
        <f t="shared" si="6"/>
        <v>0</v>
      </c>
      <c r="M89" s="9"/>
    </row>
    <row r="90" spans="1:13" ht="12.75">
      <c r="A90" s="193">
        <v>15</v>
      </c>
      <c r="B90" s="200" t="s">
        <v>868</v>
      </c>
      <c r="C90" s="258"/>
      <c r="D90" s="258"/>
      <c r="E90" s="258"/>
      <c r="F90" s="258"/>
      <c r="G90" s="258">
        <v>1660</v>
      </c>
      <c r="H90" s="258"/>
      <c r="I90" s="258">
        <f>130000-21060</f>
        <v>108940</v>
      </c>
      <c r="J90" s="258"/>
      <c r="K90" s="158">
        <f t="shared" si="6"/>
        <v>110600</v>
      </c>
      <c r="M90" s="9"/>
    </row>
    <row r="91" spans="1:13" ht="12.75">
      <c r="A91" s="193">
        <v>16</v>
      </c>
      <c r="B91" s="200" t="s">
        <v>869</v>
      </c>
      <c r="C91" s="258"/>
      <c r="D91" s="258"/>
      <c r="E91" s="258"/>
      <c r="F91" s="258"/>
      <c r="G91" s="258"/>
      <c r="H91" s="258"/>
      <c r="I91" s="258"/>
      <c r="J91" s="258"/>
      <c r="K91" s="158">
        <f t="shared" si="6"/>
        <v>0</v>
      </c>
      <c r="M91" s="9"/>
    </row>
    <row r="92" spans="1:13" ht="12.75">
      <c r="A92" s="193">
        <v>17</v>
      </c>
      <c r="B92" s="200" t="s">
        <v>870</v>
      </c>
      <c r="C92" s="258"/>
      <c r="D92" s="258"/>
      <c r="E92" s="258">
        <v>3000</v>
      </c>
      <c r="F92" s="258"/>
      <c r="G92" s="258"/>
      <c r="H92" s="258"/>
      <c r="I92" s="258"/>
      <c r="J92" s="258">
        <f>2000-800</f>
        <v>1200</v>
      </c>
      <c r="K92" s="158">
        <f t="shared" si="6"/>
        <v>4200</v>
      </c>
      <c r="M92" s="9"/>
    </row>
    <row r="93" spans="1:13" ht="12.75">
      <c r="A93" s="193">
        <v>18</v>
      </c>
      <c r="B93" s="200" t="s">
        <v>871</v>
      </c>
      <c r="C93" s="258"/>
      <c r="D93" s="258"/>
      <c r="E93" s="258"/>
      <c r="F93" s="258"/>
      <c r="G93" s="258"/>
      <c r="H93" s="258"/>
      <c r="I93" s="258"/>
      <c r="J93" s="258"/>
      <c r="K93" s="158">
        <f t="shared" si="6"/>
        <v>0</v>
      </c>
      <c r="M93" s="9"/>
    </row>
    <row r="94" spans="1:13" ht="12.75">
      <c r="A94" s="193">
        <v>19</v>
      </c>
      <c r="B94" s="200" t="s">
        <v>872</v>
      </c>
      <c r="C94" s="258"/>
      <c r="D94" s="258"/>
      <c r="E94" s="258"/>
      <c r="F94" s="258"/>
      <c r="G94" s="258">
        <f>30000-4800</f>
        <v>25200</v>
      </c>
      <c r="H94" s="258"/>
      <c r="I94" s="258"/>
      <c r="J94" s="258"/>
      <c r="K94" s="158">
        <f t="shared" si="6"/>
        <v>25200</v>
      </c>
      <c r="M94" s="9"/>
    </row>
    <row r="95" spans="1:13" ht="12.75">
      <c r="A95" s="193">
        <v>20</v>
      </c>
      <c r="B95" s="200" t="s">
        <v>873</v>
      </c>
      <c r="C95" s="258"/>
      <c r="D95" s="258"/>
      <c r="E95" s="258"/>
      <c r="F95" s="258"/>
      <c r="G95" s="258"/>
      <c r="H95" s="258"/>
      <c r="I95" s="258"/>
      <c r="J95" s="258"/>
      <c r="K95" s="158">
        <f t="shared" si="6"/>
        <v>0</v>
      </c>
      <c r="M95" s="9"/>
    </row>
    <row r="96" spans="1:13" ht="12.75">
      <c r="A96" s="193">
        <v>21</v>
      </c>
      <c r="B96" s="200" t="s">
        <v>874</v>
      </c>
      <c r="C96" s="258">
        <v>1000</v>
      </c>
      <c r="D96" s="258"/>
      <c r="E96" s="258">
        <f>20000-12000</f>
        <v>8000</v>
      </c>
      <c r="F96" s="258"/>
      <c r="G96" s="258">
        <f>160000-50430-26000</f>
        <v>83570</v>
      </c>
      <c r="H96" s="258">
        <v>3700</v>
      </c>
      <c r="I96" s="258">
        <f>750000-100000-247000</f>
        <v>403000</v>
      </c>
      <c r="J96" s="258">
        <v>5500</v>
      </c>
      <c r="K96" s="158">
        <f t="shared" si="6"/>
        <v>504770</v>
      </c>
      <c r="M96" s="9"/>
    </row>
    <row r="97" spans="1:13" ht="12.75">
      <c r="A97" s="193" t="s">
        <v>106</v>
      </c>
      <c r="B97" s="200" t="s">
        <v>117</v>
      </c>
      <c r="C97" s="258"/>
      <c r="D97" s="258"/>
      <c r="E97" s="258">
        <f>134000-37400-3000</f>
        <v>93600</v>
      </c>
      <c r="F97" s="258">
        <v>14050</v>
      </c>
      <c r="G97" s="258"/>
      <c r="H97" s="258">
        <v>50400</v>
      </c>
      <c r="I97" s="258">
        <f>161000-30000</f>
        <v>131000</v>
      </c>
      <c r="J97" s="258">
        <f>62000-20000</f>
        <v>42000</v>
      </c>
      <c r="K97" s="158">
        <f t="shared" si="6"/>
        <v>331050</v>
      </c>
      <c r="M97" s="9"/>
    </row>
    <row r="98" spans="1:11" ht="12.75">
      <c r="A98" s="159"/>
      <c r="B98" s="160" t="s">
        <v>638</v>
      </c>
      <c r="C98" s="158">
        <f>SUM(C76:C97)</f>
        <v>43410</v>
      </c>
      <c r="D98" s="158">
        <f aca="true" t="shared" si="7" ref="D98:K98">SUM(D76:D97)</f>
        <v>0</v>
      </c>
      <c r="E98" s="158">
        <f t="shared" si="7"/>
        <v>107600</v>
      </c>
      <c r="F98" s="158">
        <f t="shared" si="7"/>
        <v>42290</v>
      </c>
      <c r="G98" s="158">
        <f t="shared" si="7"/>
        <v>126030</v>
      </c>
      <c r="H98" s="158">
        <f t="shared" si="7"/>
        <v>596960</v>
      </c>
      <c r="I98" s="158">
        <f t="shared" si="7"/>
        <v>1157360</v>
      </c>
      <c r="J98" s="158">
        <f t="shared" si="7"/>
        <v>269100</v>
      </c>
      <c r="K98" s="158">
        <f t="shared" si="7"/>
        <v>2342750</v>
      </c>
    </row>
    <row r="99" spans="7:8" ht="12.75">
      <c r="G99" s="9"/>
      <c r="H99" s="9"/>
    </row>
    <row r="100" spans="6:10" ht="12.75">
      <c r="F100" s="9"/>
      <c r="J100" s="33" t="s">
        <v>363</v>
      </c>
    </row>
    <row r="101" spans="1:10" ht="12.75">
      <c r="A101" s="764" t="s">
        <v>383</v>
      </c>
      <c r="B101" s="764"/>
      <c r="C101" s="764"/>
      <c r="D101" s="764"/>
      <c r="E101" s="764"/>
      <c r="F101" s="764"/>
      <c r="G101" s="764"/>
      <c r="H101" s="764"/>
      <c r="I101" s="764"/>
      <c r="J101" s="764"/>
    </row>
    <row r="102" spans="1:2" ht="12.75">
      <c r="A102" s="33" t="str">
        <f>+A46</f>
        <v>Juris.:</v>
      </c>
      <c r="B102" s="14" t="s">
        <v>1024</v>
      </c>
    </row>
    <row r="103" spans="1:2" ht="12.75">
      <c r="A103" s="33" t="s">
        <v>1012</v>
      </c>
      <c r="B103" s="14"/>
    </row>
    <row r="105" spans="1:11" ht="12.75">
      <c r="A105" s="157" t="s">
        <v>621</v>
      </c>
      <c r="B105" s="160" t="s">
        <v>1016</v>
      </c>
      <c r="C105" s="157" t="s">
        <v>1009</v>
      </c>
      <c r="D105" s="157" t="s">
        <v>1026</v>
      </c>
      <c r="E105" s="157" t="s">
        <v>709</v>
      </c>
      <c r="F105" s="157" t="s">
        <v>701</v>
      </c>
      <c r="G105" s="157" t="s">
        <v>1027</v>
      </c>
      <c r="H105" s="157" t="s">
        <v>80</v>
      </c>
      <c r="I105" s="157" t="s">
        <v>704</v>
      </c>
      <c r="J105" s="157" t="s">
        <v>155</v>
      </c>
      <c r="K105" s="157" t="s">
        <v>638</v>
      </c>
    </row>
    <row r="106" spans="1:11" ht="12.75">
      <c r="A106" s="157"/>
      <c r="B106" s="276"/>
      <c r="C106" s="157" t="s">
        <v>1028</v>
      </c>
      <c r="D106" s="157" t="s">
        <v>1033</v>
      </c>
      <c r="E106" s="157" t="s">
        <v>1029</v>
      </c>
      <c r="F106" s="157" t="s">
        <v>1030</v>
      </c>
      <c r="G106" s="157" t="s">
        <v>1031</v>
      </c>
      <c r="H106" s="157" t="s">
        <v>1034</v>
      </c>
      <c r="I106" s="157" t="s">
        <v>1032</v>
      </c>
      <c r="J106" s="157" t="s">
        <v>23</v>
      </c>
      <c r="K106" s="157"/>
    </row>
    <row r="107" spans="1:33" ht="12.75">
      <c r="A107" s="277" t="s">
        <v>1003</v>
      </c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</row>
    <row r="108" spans="1:13" ht="12.75">
      <c r="A108" s="193">
        <v>1</v>
      </c>
      <c r="B108" s="200" t="s">
        <v>875</v>
      </c>
      <c r="C108" s="258"/>
      <c r="D108" s="258"/>
      <c r="E108" s="258">
        <f>30000-4800</f>
        <v>25200</v>
      </c>
      <c r="F108" s="258"/>
      <c r="G108" s="258"/>
      <c r="H108" s="258"/>
      <c r="I108" s="258"/>
      <c r="J108" s="258"/>
      <c r="K108" s="158">
        <f>SUM(C108:J108)</f>
        <v>25200</v>
      </c>
      <c r="M108" s="9"/>
    </row>
    <row r="109" spans="1:13" ht="12.75">
      <c r="A109" s="193">
        <v>2</v>
      </c>
      <c r="B109" s="200" t="s">
        <v>876</v>
      </c>
      <c r="C109" s="258"/>
      <c r="D109" s="258"/>
      <c r="E109" s="258"/>
      <c r="F109" s="258"/>
      <c r="G109" s="258"/>
      <c r="H109" s="258"/>
      <c r="I109" s="258">
        <f>5000-800</f>
        <v>4200</v>
      </c>
      <c r="J109" s="258"/>
      <c r="K109" s="158">
        <f aca="true" t="shared" si="8" ref="K109:K118">SUM(C109:J109)</f>
        <v>4200</v>
      </c>
      <c r="M109" s="9"/>
    </row>
    <row r="110" spans="1:13" ht="12.75">
      <c r="A110" s="193">
        <v>3</v>
      </c>
      <c r="B110" s="200" t="s">
        <v>877</v>
      </c>
      <c r="C110" s="258"/>
      <c r="D110" s="258"/>
      <c r="E110" s="258"/>
      <c r="F110" s="258"/>
      <c r="G110" s="258"/>
      <c r="H110" s="258"/>
      <c r="I110" s="258"/>
      <c r="J110" s="258"/>
      <c r="K110" s="158">
        <f t="shared" si="8"/>
        <v>0</v>
      </c>
      <c r="M110" s="9"/>
    </row>
    <row r="111" spans="1:13" ht="12.75">
      <c r="A111" s="193">
        <v>4</v>
      </c>
      <c r="B111" s="200" t="s">
        <v>878</v>
      </c>
      <c r="C111" s="258"/>
      <c r="D111" s="258"/>
      <c r="E111" s="258"/>
      <c r="F111" s="258"/>
      <c r="G111" s="258"/>
      <c r="H111" s="258"/>
      <c r="I111" s="258"/>
      <c r="J111" s="258">
        <f>50000-8000-10000</f>
        <v>32000</v>
      </c>
      <c r="K111" s="158">
        <f t="shared" si="8"/>
        <v>32000</v>
      </c>
      <c r="M111" s="9"/>
    </row>
    <row r="112" spans="1:13" ht="12.75">
      <c r="A112" s="193">
        <v>5</v>
      </c>
      <c r="B112" s="200" t="s">
        <v>879</v>
      </c>
      <c r="C112" s="258"/>
      <c r="D112" s="258"/>
      <c r="E112" s="258"/>
      <c r="F112" s="258"/>
      <c r="G112" s="258"/>
      <c r="H112" s="258"/>
      <c r="I112" s="258"/>
      <c r="J112" s="258"/>
      <c r="K112" s="158">
        <f t="shared" si="8"/>
        <v>0</v>
      </c>
      <c r="M112" s="9"/>
    </row>
    <row r="113" spans="1:13" ht="12.75">
      <c r="A113" s="193">
        <v>6</v>
      </c>
      <c r="B113" s="200" t="s">
        <v>880</v>
      </c>
      <c r="C113" s="258"/>
      <c r="D113" s="258"/>
      <c r="E113" s="258"/>
      <c r="F113" s="258"/>
      <c r="G113" s="258"/>
      <c r="H113" s="258"/>
      <c r="I113" s="258"/>
      <c r="J113" s="258"/>
      <c r="K113" s="158">
        <f t="shared" si="8"/>
        <v>0</v>
      </c>
      <c r="M113" s="9"/>
    </row>
    <row r="114" spans="1:13" ht="12.75">
      <c r="A114" s="193">
        <v>7</v>
      </c>
      <c r="B114" s="200" t="s">
        <v>893</v>
      </c>
      <c r="C114" s="258"/>
      <c r="D114" s="258"/>
      <c r="E114" s="258"/>
      <c r="F114" s="258"/>
      <c r="G114" s="258"/>
      <c r="H114" s="258">
        <v>1000</v>
      </c>
      <c r="I114" s="258"/>
      <c r="J114" s="258">
        <f>2000-480</f>
        <v>1520</v>
      </c>
      <c r="K114" s="158">
        <f t="shared" si="8"/>
        <v>2520</v>
      </c>
      <c r="M114" s="9"/>
    </row>
    <row r="115" spans="1:13" ht="12.75">
      <c r="A115" s="193">
        <v>8</v>
      </c>
      <c r="B115" s="200" t="s">
        <v>894</v>
      </c>
      <c r="C115" s="258"/>
      <c r="D115" s="258"/>
      <c r="E115" s="258">
        <f>30000-10000-9000</f>
        <v>11000</v>
      </c>
      <c r="F115" s="258">
        <f>11500-2000</f>
        <v>9500</v>
      </c>
      <c r="G115" s="258">
        <v>1000</v>
      </c>
      <c r="H115" s="258">
        <v>2000</v>
      </c>
      <c r="I115" s="258">
        <v>8000</v>
      </c>
      <c r="J115" s="258">
        <v>10000</v>
      </c>
      <c r="K115" s="158">
        <f t="shared" si="8"/>
        <v>41500</v>
      </c>
      <c r="M115" s="9"/>
    </row>
    <row r="116" spans="1:13" ht="12.75">
      <c r="A116" s="193">
        <v>9</v>
      </c>
      <c r="B116" s="200" t="s">
        <v>897</v>
      </c>
      <c r="C116" s="258"/>
      <c r="D116" s="258"/>
      <c r="E116" s="258"/>
      <c r="F116" s="258"/>
      <c r="G116" s="258"/>
      <c r="H116" s="258"/>
      <c r="I116" s="258">
        <f>346000-55360-58000</f>
        <v>232640</v>
      </c>
      <c r="J116" s="258"/>
      <c r="K116" s="158">
        <f t="shared" si="8"/>
        <v>232640</v>
      </c>
      <c r="M116" s="9"/>
    </row>
    <row r="117" spans="1:13" ht="12.75">
      <c r="A117" s="193">
        <v>10</v>
      </c>
      <c r="B117" s="200" t="s">
        <v>895</v>
      </c>
      <c r="C117" s="258"/>
      <c r="D117" s="258"/>
      <c r="E117" s="258">
        <f>10000-2810</f>
        <v>7190</v>
      </c>
      <c r="F117" s="258">
        <v>460</v>
      </c>
      <c r="G117" s="258"/>
      <c r="H117" s="258"/>
      <c r="I117" s="258">
        <v>6000</v>
      </c>
      <c r="J117" s="258">
        <v>1100</v>
      </c>
      <c r="K117" s="158">
        <f t="shared" si="8"/>
        <v>14750</v>
      </c>
      <c r="M117" s="9"/>
    </row>
    <row r="118" spans="1:13" ht="12.75">
      <c r="A118" s="193" t="s">
        <v>911</v>
      </c>
      <c r="B118" s="200" t="s">
        <v>387</v>
      </c>
      <c r="C118" s="258"/>
      <c r="D118" s="258"/>
      <c r="E118" s="258"/>
      <c r="F118" s="258"/>
      <c r="G118" s="258">
        <v>200</v>
      </c>
      <c r="H118" s="258"/>
      <c r="I118" s="258"/>
      <c r="J118" s="258">
        <f>1200-220</f>
        <v>980</v>
      </c>
      <c r="K118" s="158">
        <f t="shared" si="8"/>
        <v>1180</v>
      </c>
      <c r="M118" s="9"/>
    </row>
    <row r="119" spans="1:11" ht="12.75">
      <c r="A119" s="159"/>
      <c r="B119" s="160" t="s">
        <v>638</v>
      </c>
      <c r="C119" s="158">
        <f>SUM(C108:C118)</f>
        <v>0</v>
      </c>
      <c r="D119" s="158">
        <f aca="true" t="shared" si="9" ref="D119:K119">SUM(D108:D118)</f>
        <v>0</v>
      </c>
      <c r="E119" s="158">
        <f t="shared" si="9"/>
        <v>43390</v>
      </c>
      <c r="F119" s="158">
        <f t="shared" si="9"/>
        <v>9960</v>
      </c>
      <c r="G119" s="158">
        <f t="shared" si="9"/>
        <v>1200</v>
      </c>
      <c r="H119" s="158">
        <f t="shared" si="9"/>
        <v>3000</v>
      </c>
      <c r="I119" s="158">
        <f t="shared" si="9"/>
        <v>250840</v>
      </c>
      <c r="J119" s="158">
        <f t="shared" si="9"/>
        <v>45600</v>
      </c>
      <c r="K119" s="158">
        <f t="shared" si="9"/>
        <v>353990</v>
      </c>
    </row>
  </sheetData>
  <sheetProtection/>
  <mergeCells count="3">
    <mergeCell ref="A2:J2"/>
    <mergeCell ref="A45:J45"/>
    <mergeCell ref="A101:J101"/>
  </mergeCells>
  <printOptions horizontalCentered="1"/>
  <pageMargins left="0.1968503937007874" right="0.1968503937007874" top="0.43" bottom="0.3937007874015748" header="0.1968503937007874" footer="0.1968503937007874"/>
  <pageSetup horizontalDpi="600" verticalDpi="600" orientation="landscape" paperSize="9" scale="74" r:id="rId3"/>
  <rowBreaks count="3" manualBreakCount="3">
    <brk id="42" max="255" man="1"/>
    <brk id="98" max="255" man="1"/>
    <brk id="119" max="25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zoomScaleSheetLayoutView="75" zoomScalePageLayoutView="0" workbookViewId="0" topLeftCell="B1">
      <selection activeCell="A2" sqref="A2:I25"/>
    </sheetView>
  </sheetViews>
  <sheetFormatPr defaultColWidth="11.421875" defaultRowHeight="12.75"/>
  <cols>
    <col min="1" max="1" width="46.421875" style="0" customWidth="1"/>
    <col min="2" max="2" width="14.421875" style="0" bestFit="1" customWidth="1"/>
    <col min="3" max="3" width="13.7109375" style="0" bestFit="1" customWidth="1"/>
    <col min="4" max="4" width="16.7109375" style="0" bestFit="1" customWidth="1"/>
    <col min="5" max="5" width="15.00390625" style="0" bestFit="1" customWidth="1"/>
    <col min="6" max="6" width="16.8515625" style="0" customWidth="1"/>
    <col min="7" max="7" width="13.140625" style="0" bestFit="1" customWidth="1"/>
    <col min="8" max="8" width="17.7109375" style="0" bestFit="1" customWidth="1"/>
  </cols>
  <sheetData>
    <row r="1" spans="1:8" ht="12.75">
      <c r="A1" s="54"/>
      <c r="B1" s="48"/>
      <c r="C1" s="48"/>
      <c r="D1" s="48"/>
      <c r="E1" s="48"/>
      <c r="F1" s="48"/>
      <c r="G1" s="48"/>
      <c r="H1" s="33" t="s">
        <v>224</v>
      </c>
    </row>
    <row r="2" spans="1:8" ht="15">
      <c r="A2" s="761" t="s">
        <v>382</v>
      </c>
      <c r="B2" s="761"/>
      <c r="C2" s="761"/>
      <c r="D2" s="761"/>
      <c r="E2" s="761"/>
      <c r="F2" s="761"/>
      <c r="G2" s="761"/>
      <c r="H2" s="761"/>
    </row>
    <row r="3" spans="1:8" ht="12.75">
      <c r="A3" s="48"/>
      <c r="B3" s="48"/>
      <c r="C3" s="48"/>
      <c r="D3" s="48"/>
      <c r="E3" s="48"/>
      <c r="F3" s="48"/>
      <c r="G3" s="48"/>
      <c r="H3" s="48"/>
    </row>
    <row r="4" spans="1:8" ht="12.75">
      <c r="A4" s="764" t="s">
        <v>636</v>
      </c>
      <c r="B4" s="764"/>
      <c r="C4" s="764"/>
      <c r="D4" s="764"/>
      <c r="E4" s="764"/>
      <c r="F4" s="764"/>
      <c r="G4" s="764"/>
      <c r="H4" s="764"/>
    </row>
    <row r="5" spans="1:8" ht="12.75">
      <c r="A5" s="764" t="s">
        <v>712</v>
      </c>
      <c r="B5" s="764"/>
      <c r="C5" s="764"/>
      <c r="D5" s="764"/>
      <c r="E5" s="764"/>
      <c r="F5" s="764"/>
      <c r="G5" s="764"/>
      <c r="H5" s="764"/>
    </row>
    <row r="6" spans="1:8" ht="13.5" thickBot="1">
      <c r="A6" s="48"/>
      <c r="B6" s="48"/>
      <c r="C6" s="48"/>
      <c r="D6" s="48"/>
      <c r="E6" s="48"/>
      <c r="F6" s="48"/>
      <c r="G6" s="48"/>
      <c r="H6" s="48"/>
    </row>
    <row r="7" spans="1:9" ht="13.5" thickBot="1">
      <c r="A7" s="273" t="s">
        <v>536</v>
      </c>
      <c r="B7" s="292" t="s">
        <v>638</v>
      </c>
      <c r="C7" s="179" t="s">
        <v>695</v>
      </c>
      <c r="D7" s="179" t="s">
        <v>713</v>
      </c>
      <c r="E7" s="179" t="s">
        <v>714</v>
      </c>
      <c r="F7" s="179" t="s">
        <v>715</v>
      </c>
      <c r="G7" s="179" t="s">
        <v>716</v>
      </c>
      <c r="H7" s="179" t="s">
        <v>717</v>
      </c>
      <c r="I7" s="179" t="s">
        <v>105</v>
      </c>
    </row>
    <row r="8" spans="1:9" s="14" customFormat="1" ht="13.5" thickBot="1">
      <c r="A8" s="36"/>
      <c r="B8" s="36"/>
      <c r="C8" s="36">
        <v>411</v>
      </c>
      <c r="D8" s="36">
        <v>421</v>
      </c>
      <c r="E8" s="36">
        <v>431</v>
      </c>
      <c r="F8" s="36">
        <v>441</v>
      </c>
      <c r="G8" s="36">
        <v>451</v>
      </c>
      <c r="H8" s="36">
        <v>461</v>
      </c>
      <c r="I8" s="36" t="s">
        <v>104</v>
      </c>
    </row>
    <row r="9" spans="1:9" ht="13.5" thickBot="1">
      <c r="A9" s="299" t="s">
        <v>539</v>
      </c>
      <c r="B9" s="184">
        <f aca="true" t="shared" si="0" ref="B9:I9">+SUM(B11:B14)</f>
        <v>46269297</v>
      </c>
      <c r="C9" s="186">
        <f t="shared" si="0"/>
        <v>1365620</v>
      </c>
      <c r="D9" s="186">
        <f t="shared" si="0"/>
        <v>8353020</v>
      </c>
      <c r="E9" s="186">
        <f t="shared" si="0"/>
        <v>1131747</v>
      </c>
      <c r="F9" s="186">
        <f t="shared" si="0"/>
        <v>12641460</v>
      </c>
      <c r="G9" s="186">
        <f t="shared" si="0"/>
        <v>1998520</v>
      </c>
      <c r="H9" s="186">
        <f t="shared" si="0"/>
        <v>19521970</v>
      </c>
      <c r="I9" s="186">
        <f t="shared" si="0"/>
        <v>1256960</v>
      </c>
    </row>
    <row r="10" spans="1:9" ht="12.75">
      <c r="A10" s="162"/>
      <c r="B10" s="302"/>
      <c r="C10" s="265"/>
      <c r="D10" s="265"/>
      <c r="E10" s="265"/>
      <c r="F10" s="265"/>
      <c r="G10" s="265"/>
      <c r="H10" s="265"/>
      <c r="I10" s="265"/>
    </row>
    <row r="11" spans="1:9" ht="12.75">
      <c r="A11" s="163" t="s">
        <v>644</v>
      </c>
      <c r="B11" s="300">
        <f>+SUM(C11:I11)</f>
        <v>30490847</v>
      </c>
      <c r="C11" s="263">
        <f>+'obras juris'!G8</f>
        <v>947010</v>
      </c>
      <c r="D11" s="263">
        <f>+'obras juris'!G36+'obras juris'!G64+'obras juris'!G93+'obras juris'!G121</f>
        <v>5515980</v>
      </c>
      <c r="E11" s="263">
        <f>+'obras juris'!G149</f>
        <v>954447</v>
      </c>
      <c r="F11" s="263">
        <f>+'obras juris'!G177+'obras juris'!G205+'obras juris'!G234+'obras juris'!G262+'obras juris'!G290+'obras juris'!G318</f>
        <v>9323640</v>
      </c>
      <c r="G11" s="263">
        <f>+'obras juris'!G346</f>
        <v>1951020</v>
      </c>
      <c r="H11" s="263">
        <f>+'obras juris'!G375+'obras juris'!G403+'obras juris'!G431</f>
        <v>11334240</v>
      </c>
      <c r="I11" s="263">
        <f>+'obras juris'!G459</f>
        <v>464510</v>
      </c>
    </row>
    <row r="12" spans="1:9" ht="12.75">
      <c r="A12" s="163" t="s">
        <v>645</v>
      </c>
      <c r="B12" s="300">
        <f>+SUM(C12:I12)</f>
        <v>3013820</v>
      </c>
      <c r="C12" s="263">
        <f>+'obras juris'!G11</f>
        <v>180990</v>
      </c>
      <c r="D12" s="263">
        <f>+'obras juris'!G39+'obras juris'!G67+'obras juris'!G96+'obras juris'!G124</f>
        <v>806800</v>
      </c>
      <c r="E12" s="263">
        <f>+'obras juris'!G152</f>
        <v>7130</v>
      </c>
      <c r="F12" s="263">
        <f>+'obras juris'!G180+'obras juris'!G208+'obras juris'!G237+'obras juris'!G265+'obras juris'!G293+'obras juris'!G321</f>
        <v>1803180</v>
      </c>
      <c r="G12" s="263">
        <f>+'obras juris'!G349</f>
        <v>8500</v>
      </c>
      <c r="H12" s="263">
        <f>+'obras juris'!G378+'obras juris'!G406+'obras juris'!G434</f>
        <v>158170</v>
      </c>
      <c r="I12" s="263">
        <f>+'obras juris'!G462</f>
        <v>49050</v>
      </c>
    </row>
    <row r="13" spans="1:9" ht="12.75">
      <c r="A13" s="163" t="s">
        <v>646</v>
      </c>
      <c r="B13" s="300">
        <f>+SUM(C13:I13)</f>
        <v>12164630</v>
      </c>
      <c r="C13" s="263">
        <f>+'obras juris'!G12</f>
        <v>237620</v>
      </c>
      <c r="D13" s="263">
        <f>+'obras juris'!G40+'obras juris'!G68+'obras juris'!G97+'obras juris'!G125</f>
        <v>1430240</v>
      </c>
      <c r="E13" s="263">
        <f>+'obras juris'!G153</f>
        <v>170170</v>
      </c>
      <c r="F13" s="263">
        <f>+'obras juris'!G181+'obras juris'!G209+'obras juris'!G238+'obras juris'!G266+'obras juris'!G294+'obras juris'!G322</f>
        <v>1514640</v>
      </c>
      <c r="G13" s="263">
        <f>+'obras juris'!G350</f>
        <v>39000</v>
      </c>
      <c r="H13" s="263">
        <f>+'obras juris'!G379+'obras juris'!G407+'obras juris'!G435</f>
        <v>8029560</v>
      </c>
      <c r="I13" s="263">
        <f>+'obras juris'!G463</f>
        <v>743400</v>
      </c>
    </row>
    <row r="14" spans="1:9" ht="12.75">
      <c r="A14" s="163" t="s">
        <v>648</v>
      </c>
      <c r="B14" s="300">
        <f>+SUM(C14:I14)</f>
        <v>600000</v>
      </c>
      <c r="C14" s="263"/>
      <c r="D14" s="263">
        <f>+'obras juris'!G44+'obras juris'!G70+'obras juris'!G101+'obras juris'!G129</f>
        <v>600000</v>
      </c>
      <c r="E14" s="263"/>
      <c r="F14" s="263"/>
      <c r="G14" s="263"/>
      <c r="H14" s="263"/>
      <c r="I14" s="263">
        <f>+'Gob juris'!H183</f>
        <v>0</v>
      </c>
    </row>
    <row r="15" spans="1:9" ht="13.5" thickBot="1">
      <c r="A15" s="163"/>
      <c r="B15" s="301"/>
      <c r="C15" s="274"/>
      <c r="D15" s="274"/>
      <c r="E15" s="274"/>
      <c r="F15" s="274"/>
      <c r="G15" s="274"/>
      <c r="H15" s="274"/>
      <c r="I15" s="274"/>
    </row>
    <row r="16" spans="1:9" ht="13.5" thickBot="1">
      <c r="A16" s="299" t="s">
        <v>548</v>
      </c>
      <c r="B16" s="184">
        <f aca="true" t="shared" si="1" ref="B16:I16">+SUM(B18:B19)</f>
        <v>13823250</v>
      </c>
      <c r="C16" s="186">
        <f t="shared" si="1"/>
        <v>22460</v>
      </c>
      <c r="D16" s="186">
        <f t="shared" si="1"/>
        <v>11991630</v>
      </c>
      <c r="E16" s="186">
        <f t="shared" si="1"/>
        <v>760</v>
      </c>
      <c r="F16" s="186">
        <f t="shared" si="1"/>
        <v>974280</v>
      </c>
      <c r="G16" s="186">
        <f t="shared" si="1"/>
        <v>5720</v>
      </c>
      <c r="H16" s="186">
        <f t="shared" si="1"/>
        <v>799540</v>
      </c>
      <c r="I16" s="186">
        <f t="shared" si="1"/>
        <v>28860</v>
      </c>
    </row>
    <row r="17" spans="1:9" ht="12.75">
      <c r="A17" s="163"/>
      <c r="B17" s="302"/>
      <c r="C17" s="275"/>
      <c r="D17" s="275"/>
      <c r="E17" s="275"/>
      <c r="F17" s="275"/>
      <c r="G17" s="275"/>
      <c r="H17" s="275"/>
      <c r="I17" s="275"/>
    </row>
    <row r="18" spans="1:9" ht="12.75">
      <c r="A18" s="163" t="s">
        <v>649</v>
      </c>
      <c r="B18" s="300">
        <f>+SUM(C18:I18)</f>
        <v>2154520</v>
      </c>
      <c r="C18" s="263">
        <f>+'obras juris'!G19</f>
        <v>22460</v>
      </c>
      <c r="D18" s="263">
        <f>+'obras juris'!G47+'obras juris'!G75+'obras juris'!G104+'obras juris'!G132</f>
        <v>322900</v>
      </c>
      <c r="E18" s="263">
        <f>+'obras juris'!G160</f>
        <v>760</v>
      </c>
      <c r="F18" s="263">
        <f>+'obras juris'!G188+'obras juris'!G216+'obras juris'!G245+'obras juris'!G273+'obras juris'!G301+'obras juris'!G329</f>
        <v>974280</v>
      </c>
      <c r="G18" s="263">
        <f>+'obras juris'!G357</f>
        <v>5720</v>
      </c>
      <c r="H18" s="263">
        <f>+'obras juris'!G386+'obras juris'!G414+'obras juris'!G442</f>
        <v>799540</v>
      </c>
      <c r="I18" s="263">
        <f>+'obras juris'!G470</f>
        <v>28860</v>
      </c>
    </row>
    <row r="19" spans="1:9" ht="12.75">
      <c r="A19" s="163" t="s">
        <v>650</v>
      </c>
      <c r="B19" s="300">
        <f>+SUM(C19:I19)</f>
        <v>11668730</v>
      </c>
      <c r="C19" s="263"/>
      <c r="D19" s="263">
        <f>+'obras juris'!G48+'obras juris'!G76+'obras juris'!G105+'obras juris'!G133</f>
        <v>11668730</v>
      </c>
      <c r="E19" s="263"/>
      <c r="F19" s="263"/>
      <c r="G19" s="263"/>
      <c r="H19" s="263"/>
      <c r="I19" s="263"/>
    </row>
    <row r="20" spans="1:9" ht="13.5" thickBot="1">
      <c r="A20" s="163"/>
      <c r="B20" s="301"/>
      <c r="C20" s="274"/>
      <c r="D20" s="274"/>
      <c r="E20" s="274"/>
      <c r="F20" s="274"/>
      <c r="G20" s="274"/>
      <c r="H20" s="274"/>
      <c r="I20" s="274"/>
    </row>
    <row r="21" spans="1:9" ht="13.5" thickBot="1">
      <c r="A21" s="299" t="s">
        <v>553</v>
      </c>
      <c r="B21" s="184">
        <f aca="true" t="shared" si="2" ref="B21:H21">+SUM(B23:B23)</f>
        <v>0</v>
      </c>
      <c r="C21" s="186">
        <f t="shared" si="2"/>
        <v>0</v>
      </c>
      <c r="D21" s="186">
        <f t="shared" si="2"/>
        <v>0</v>
      </c>
      <c r="E21" s="186">
        <f t="shared" si="2"/>
        <v>0</v>
      </c>
      <c r="F21" s="186">
        <f t="shared" si="2"/>
        <v>0</v>
      </c>
      <c r="G21" s="186">
        <f t="shared" si="2"/>
        <v>0</v>
      </c>
      <c r="H21" s="186">
        <f t="shared" si="2"/>
        <v>0</v>
      </c>
      <c r="I21" s="186">
        <f>+SUM(I23:I23)</f>
        <v>0</v>
      </c>
    </row>
    <row r="22" spans="1:9" ht="12.75">
      <c r="A22" s="163"/>
      <c r="B22" s="302"/>
      <c r="C22" s="275"/>
      <c r="D22" s="275"/>
      <c r="E22" s="275"/>
      <c r="F22" s="275"/>
      <c r="G22" s="275"/>
      <c r="H22" s="275"/>
      <c r="I22" s="275"/>
    </row>
    <row r="23" spans="1:9" ht="12.75">
      <c r="A23" s="163" t="s">
        <v>652</v>
      </c>
      <c r="B23" s="300">
        <f>+SUM(C23:I23)</f>
        <v>0</v>
      </c>
      <c r="C23" s="263"/>
      <c r="D23" s="263"/>
      <c r="E23" s="263"/>
      <c r="F23" s="263"/>
      <c r="G23" s="263"/>
      <c r="H23" s="263"/>
      <c r="I23" s="263"/>
    </row>
    <row r="24" spans="1:9" ht="13.5" thickBot="1">
      <c r="A24" s="163"/>
      <c r="B24" s="301"/>
      <c r="C24" s="266"/>
      <c r="D24" s="266"/>
      <c r="E24" s="266"/>
      <c r="F24" s="266"/>
      <c r="G24" s="266"/>
      <c r="H24" s="266"/>
      <c r="I24" s="266"/>
    </row>
    <row r="25" spans="1:9" ht="13.5" thickBot="1">
      <c r="A25" s="273" t="s">
        <v>561</v>
      </c>
      <c r="B25" s="184">
        <f aca="true" t="shared" si="3" ref="B25:I25">+B9+B16+B21</f>
        <v>60092547</v>
      </c>
      <c r="C25" s="173">
        <f t="shared" si="3"/>
        <v>1388080</v>
      </c>
      <c r="D25" s="173">
        <f t="shared" si="3"/>
        <v>20344650</v>
      </c>
      <c r="E25" s="173">
        <f t="shared" si="3"/>
        <v>1132507</v>
      </c>
      <c r="F25" s="173">
        <f t="shared" si="3"/>
        <v>13615740</v>
      </c>
      <c r="G25" s="173">
        <f t="shared" si="3"/>
        <v>2004240</v>
      </c>
      <c r="H25" s="173">
        <f t="shared" si="3"/>
        <v>20321510</v>
      </c>
      <c r="I25" s="173">
        <f t="shared" si="3"/>
        <v>1285820</v>
      </c>
    </row>
    <row r="27" spans="3:8" ht="12.75">
      <c r="C27" s="1"/>
      <c r="F27" s="1"/>
      <c r="G27" s="1"/>
      <c r="H27" s="1"/>
    </row>
    <row r="28" spans="2:8" ht="12.75">
      <c r="B28" s="3"/>
      <c r="C28" s="3"/>
      <c r="D28" s="3"/>
      <c r="E28" s="3"/>
      <c r="F28" s="3"/>
      <c r="G28" s="3"/>
      <c r="H28" s="3"/>
    </row>
    <row r="29" spans="1:8" ht="12.75">
      <c r="A29" s="8"/>
      <c r="B29" s="4"/>
      <c r="C29" s="4"/>
      <c r="D29" s="4"/>
      <c r="E29" s="4"/>
      <c r="F29" s="4"/>
      <c r="G29" s="4"/>
      <c r="H29" s="4"/>
    </row>
    <row r="30" spans="2:8" ht="12.75">
      <c r="B30" s="5"/>
      <c r="C30" s="5"/>
      <c r="D30" s="5"/>
      <c r="E30" s="5"/>
      <c r="F30" s="5"/>
      <c r="G30" s="5"/>
      <c r="H30" s="5"/>
    </row>
  </sheetData>
  <sheetProtection/>
  <mergeCells count="3">
    <mergeCell ref="A2:H2"/>
    <mergeCell ref="A4:H4"/>
    <mergeCell ref="A5:H5"/>
  </mergeCells>
  <printOptions horizontalCentered="1"/>
  <pageMargins left="0.1968503937007874" right="0.1968503937007874" top="0.3937007874015748" bottom="0.3937007874015748" header="0.1968503937007874" footer="0"/>
  <pageSetup horizontalDpi="300" verticalDpi="3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78"/>
  <sheetViews>
    <sheetView zoomScale="75" zoomScaleNormal="75" zoomScaleSheetLayoutView="75" zoomScalePageLayoutView="0" workbookViewId="0" topLeftCell="A1">
      <selection activeCell="I2" sqref="I2"/>
    </sheetView>
  </sheetViews>
  <sheetFormatPr defaultColWidth="11.421875" defaultRowHeight="12.75"/>
  <cols>
    <col min="1" max="1" width="7.57421875" style="48" customWidth="1"/>
    <col min="2" max="2" width="6.421875" style="48" bestFit="1" customWidth="1"/>
    <col min="3" max="3" width="7.7109375" style="48" bestFit="1" customWidth="1"/>
    <col min="4" max="4" width="9.140625" style="48" bestFit="1" customWidth="1"/>
    <col min="5" max="5" width="7.57421875" style="48" bestFit="1" customWidth="1"/>
    <col min="6" max="6" width="41.28125" style="48" customWidth="1"/>
    <col min="7" max="7" width="14.421875" style="68" bestFit="1" customWidth="1"/>
  </cols>
  <sheetData>
    <row r="1" spans="1:7" ht="15.75">
      <c r="A1" s="544"/>
      <c r="B1" s="544"/>
      <c r="C1" s="544"/>
      <c r="D1" s="544"/>
      <c r="E1" s="544"/>
      <c r="F1" s="69" t="s">
        <v>365</v>
      </c>
      <c r="G1" s="735"/>
    </row>
    <row r="2" spans="1:7" ht="15.75">
      <c r="A2" s="787" t="s">
        <v>382</v>
      </c>
      <c r="B2" s="787"/>
      <c r="C2" s="787"/>
      <c r="D2" s="787"/>
      <c r="E2" s="787"/>
      <c r="F2" s="787"/>
      <c r="G2" s="787"/>
    </row>
    <row r="3" spans="1:7" ht="16.5" thickBot="1">
      <c r="A3" s="69" t="s">
        <v>719</v>
      </c>
      <c r="B3" s="544"/>
      <c r="C3" s="544"/>
      <c r="D3" s="544"/>
      <c r="E3" s="544"/>
      <c r="F3" s="544"/>
      <c r="G3" s="76">
        <v>411</v>
      </c>
    </row>
    <row r="4" spans="1:7" ht="16.5" thickBot="1">
      <c r="A4" s="785" t="s">
        <v>621</v>
      </c>
      <c r="B4" s="786"/>
      <c r="C4" s="786"/>
      <c r="D4" s="786"/>
      <c r="E4" s="786"/>
      <c r="F4" s="698" t="s">
        <v>657</v>
      </c>
      <c r="G4" s="698" t="s">
        <v>658</v>
      </c>
    </row>
    <row r="5" spans="1:7" ht="16.5" thickBot="1">
      <c r="A5" s="362" t="s">
        <v>659</v>
      </c>
      <c r="B5" s="362" t="s">
        <v>660</v>
      </c>
      <c r="C5" s="362" t="s">
        <v>661</v>
      </c>
      <c r="D5" s="362" t="s">
        <v>625</v>
      </c>
      <c r="E5" s="691" t="s">
        <v>662</v>
      </c>
      <c r="F5" s="699" t="s">
        <v>663</v>
      </c>
      <c r="G5" s="699"/>
    </row>
    <row r="6" spans="1:7" ht="15.75">
      <c r="A6" s="700">
        <v>4</v>
      </c>
      <c r="B6" s="701"/>
      <c r="C6" s="701"/>
      <c r="D6" s="701"/>
      <c r="E6" s="702"/>
      <c r="F6" s="703" t="s">
        <v>539</v>
      </c>
      <c r="G6" s="704">
        <f>+G7+G13+G15</f>
        <v>1365620</v>
      </c>
    </row>
    <row r="7" spans="1:7" ht="15.75">
      <c r="A7" s="705">
        <v>4</v>
      </c>
      <c r="B7" s="706">
        <v>1</v>
      </c>
      <c r="C7" s="706"/>
      <c r="D7" s="706"/>
      <c r="E7" s="707"/>
      <c r="F7" s="708" t="s">
        <v>664</v>
      </c>
      <c r="G7" s="709">
        <f>+G8+G11+G12</f>
        <v>1365620</v>
      </c>
    </row>
    <row r="8" spans="1:7" ht="15.75">
      <c r="A8" s="705">
        <v>4</v>
      </c>
      <c r="B8" s="706">
        <v>1</v>
      </c>
      <c r="C8" s="706">
        <v>1</v>
      </c>
      <c r="D8" s="706"/>
      <c r="E8" s="707"/>
      <c r="F8" s="708" t="s">
        <v>644</v>
      </c>
      <c r="G8" s="709">
        <f>+G9+G10</f>
        <v>947010</v>
      </c>
    </row>
    <row r="9" spans="1:7" ht="15.75">
      <c r="A9" s="705">
        <v>4</v>
      </c>
      <c r="B9" s="706">
        <v>1</v>
      </c>
      <c r="C9" s="706">
        <v>1</v>
      </c>
      <c r="D9" s="706">
        <v>1</v>
      </c>
      <c r="E9" s="707"/>
      <c r="F9" s="708" t="s">
        <v>665</v>
      </c>
      <c r="G9" s="709">
        <f>+ANEXO5!D23</f>
        <v>770190</v>
      </c>
    </row>
    <row r="10" spans="1:7" ht="15.75">
      <c r="A10" s="705">
        <v>4</v>
      </c>
      <c r="B10" s="706">
        <v>1</v>
      </c>
      <c r="C10" s="706">
        <v>1</v>
      </c>
      <c r="D10" s="706">
        <v>2</v>
      </c>
      <c r="E10" s="707"/>
      <c r="F10" s="708" t="s">
        <v>682</v>
      </c>
      <c r="G10" s="709">
        <f>+ANEXO5!D42</f>
        <v>176820</v>
      </c>
    </row>
    <row r="11" spans="1:7" ht="15.75">
      <c r="A11" s="705">
        <v>4</v>
      </c>
      <c r="B11" s="706">
        <v>1</v>
      </c>
      <c r="C11" s="706">
        <v>2</v>
      </c>
      <c r="D11" s="706"/>
      <c r="E11" s="707"/>
      <c r="F11" s="708" t="s">
        <v>645</v>
      </c>
      <c r="G11" s="709">
        <f>+ANEXO5!D71</f>
        <v>180990</v>
      </c>
    </row>
    <row r="12" spans="1:7" ht="15.75">
      <c r="A12" s="705">
        <v>4</v>
      </c>
      <c r="B12" s="706">
        <v>1</v>
      </c>
      <c r="C12" s="706">
        <v>3</v>
      </c>
      <c r="D12" s="706"/>
      <c r="E12" s="707"/>
      <c r="F12" s="708" t="s">
        <v>646</v>
      </c>
      <c r="G12" s="709">
        <f>+ANEXO5!D98</f>
        <v>237620</v>
      </c>
    </row>
    <row r="13" spans="1:7" ht="15.75">
      <c r="A13" s="705">
        <v>4</v>
      </c>
      <c r="B13" s="706">
        <v>2</v>
      </c>
      <c r="C13" s="706"/>
      <c r="D13" s="706"/>
      <c r="E13" s="707"/>
      <c r="F13" s="708" t="s">
        <v>683</v>
      </c>
      <c r="G13" s="709">
        <f>+G14</f>
        <v>0</v>
      </c>
    </row>
    <row r="14" spans="1:7" ht="15.75">
      <c r="A14" s="705">
        <v>4</v>
      </c>
      <c r="B14" s="706">
        <v>2</v>
      </c>
      <c r="C14" s="706">
        <v>1</v>
      </c>
      <c r="D14" s="706"/>
      <c r="E14" s="707"/>
      <c r="F14" s="708" t="s">
        <v>684</v>
      </c>
      <c r="G14" s="710"/>
    </row>
    <row r="15" spans="1:7" ht="15.75">
      <c r="A15" s="705">
        <v>4</v>
      </c>
      <c r="B15" s="706">
        <v>3</v>
      </c>
      <c r="C15" s="706"/>
      <c r="D15" s="706"/>
      <c r="E15" s="707"/>
      <c r="F15" s="708" t="s">
        <v>685</v>
      </c>
      <c r="G15" s="709">
        <f>+G16</f>
        <v>0</v>
      </c>
    </row>
    <row r="16" spans="1:7" ht="15.75">
      <c r="A16" s="705">
        <v>4</v>
      </c>
      <c r="B16" s="706">
        <v>3</v>
      </c>
      <c r="C16" s="706">
        <v>1</v>
      </c>
      <c r="D16" s="706"/>
      <c r="E16" s="707"/>
      <c r="F16" s="708" t="s">
        <v>648</v>
      </c>
      <c r="G16" s="710"/>
    </row>
    <row r="17" spans="1:7" ht="15.75">
      <c r="A17" s="711">
        <v>5</v>
      </c>
      <c r="B17" s="706"/>
      <c r="C17" s="706"/>
      <c r="D17" s="706"/>
      <c r="E17" s="707"/>
      <c r="F17" s="708" t="s">
        <v>548</v>
      </c>
      <c r="G17" s="709">
        <f>+G18+G21+G22</f>
        <v>22460</v>
      </c>
    </row>
    <row r="18" spans="1:7" ht="15.75">
      <c r="A18" s="705">
        <v>5</v>
      </c>
      <c r="B18" s="706">
        <v>1</v>
      </c>
      <c r="C18" s="706"/>
      <c r="D18" s="706"/>
      <c r="E18" s="707"/>
      <c r="F18" s="708" t="s">
        <v>686</v>
      </c>
      <c r="G18" s="709">
        <f>+G19+G20</f>
        <v>22460</v>
      </c>
    </row>
    <row r="19" spans="1:7" ht="15.75">
      <c r="A19" s="705">
        <v>5</v>
      </c>
      <c r="B19" s="706">
        <v>1</v>
      </c>
      <c r="C19" s="706">
        <v>1</v>
      </c>
      <c r="D19" s="706"/>
      <c r="E19" s="707"/>
      <c r="F19" s="708" t="s">
        <v>649</v>
      </c>
      <c r="G19" s="710">
        <f>+ANEXO5!D115</f>
        <v>22460</v>
      </c>
    </row>
    <row r="20" spans="1:7" ht="15.75">
      <c r="A20" s="705">
        <v>5</v>
      </c>
      <c r="B20" s="706">
        <v>1</v>
      </c>
      <c r="C20" s="706">
        <v>2</v>
      </c>
      <c r="D20" s="706"/>
      <c r="E20" s="706"/>
      <c r="F20" s="708" t="s">
        <v>650</v>
      </c>
      <c r="G20" s="710"/>
    </row>
    <row r="21" spans="1:7" ht="15.75">
      <c r="A21" s="705">
        <v>5</v>
      </c>
      <c r="B21" s="706">
        <v>2</v>
      </c>
      <c r="C21" s="706"/>
      <c r="D21" s="706"/>
      <c r="E21" s="706"/>
      <c r="F21" s="708" t="s">
        <v>687</v>
      </c>
      <c r="G21" s="709">
        <v>0</v>
      </c>
    </row>
    <row r="22" spans="1:7" ht="15.75">
      <c r="A22" s="705">
        <v>5</v>
      </c>
      <c r="B22" s="706">
        <v>3</v>
      </c>
      <c r="C22" s="706"/>
      <c r="D22" s="706"/>
      <c r="E22" s="706"/>
      <c r="F22" s="708" t="s">
        <v>688</v>
      </c>
      <c r="G22" s="709">
        <f>+G23</f>
        <v>0</v>
      </c>
    </row>
    <row r="23" spans="1:7" ht="15.75">
      <c r="A23" s="705">
        <v>5</v>
      </c>
      <c r="B23" s="706">
        <v>3</v>
      </c>
      <c r="C23" s="706">
        <v>1</v>
      </c>
      <c r="D23" s="706"/>
      <c r="E23" s="706"/>
      <c r="F23" s="708" t="s">
        <v>651</v>
      </c>
      <c r="G23" s="710"/>
    </row>
    <row r="24" spans="1:7" ht="15.75">
      <c r="A24" s="711">
        <v>6</v>
      </c>
      <c r="B24" s="706"/>
      <c r="C24" s="706"/>
      <c r="D24" s="706"/>
      <c r="E24" s="706"/>
      <c r="F24" s="708" t="s">
        <v>553</v>
      </c>
      <c r="G24" s="709">
        <f>+G25</f>
        <v>0</v>
      </c>
    </row>
    <row r="25" spans="1:7" ht="15.75">
      <c r="A25" s="705">
        <v>6</v>
      </c>
      <c r="B25" s="706">
        <v>1</v>
      </c>
      <c r="C25" s="706"/>
      <c r="D25" s="706"/>
      <c r="E25" s="706"/>
      <c r="F25" s="708" t="s">
        <v>689</v>
      </c>
      <c r="G25" s="709">
        <f>+G26</f>
        <v>0</v>
      </c>
    </row>
    <row r="26" spans="1:7" ht="16.5" thickBot="1">
      <c r="A26" s="712">
        <v>6</v>
      </c>
      <c r="B26" s="713">
        <v>1</v>
      </c>
      <c r="C26" s="713">
        <v>1</v>
      </c>
      <c r="D26" s="713"/>
      <c r="E26" s="713"/>
      <c r="F26" s="714" t="s">
        <v>652</v>
      </c>
      <c r="G26" s="715"/>
    </row>
    <row r="27" spans="1:7" ht="16.5" thickBot="1">
      <c r="A27" s="544"/>
      <c r="B27" s="544"/>
      <c r="C27" s="544"/>
      <c r="D27" s="544"/>
      <c r="E27" s="544"/>
      <c r="F27" s="699" t="s">
        <v>690</v>
      </c>
      <c r="G27" s="716">
        <f>+G6+G17+G24</f>
        <v>1388080</v>
      </c>
    </row>
    <row r="28" spans="1:7" ht="15">
      <c r="A28" s="544"/>
      <c r="B28" s="544"/>
      <c r="C28" s="544"/>
      <c r="D28" s="544"/>
      <c r="E28" s="544"/>
      <c r="F28" s="544"/>
      <c r="G28" s="735"/>
    </row>
    <row r="29" spans="1:7" ht="15.75">
      <c r="A29" s="719"/>
      <c r="B29" s="544"/>
      <c r="C29" s="544"/>
      <c r="D29" s="544"/>
      <c r="E29" s="544"/>
      <c r="F29" s="69" t="s">
        <v>1139</v>
      </c>
      <c r="G29" s="735"/>
    </row>
    <row r="30" spans="1:7" ht="15.75">
      <c r="A30" s="783" t="str">
        <f>+A2</f>
        <v>PRESUPUESTO AÑO 2008</v>
      </c>
      <c r="B30" s="784"/>
      <c r="C30" s="784"/>
      <c r="D30" s="784"/>
      <c r="E30" s="784"/>
      <c r="F30" s="784"/>
      <c r="G30" s="784"/>
    </row>
    <row r="31" spans="1:7" ht="16.5" thickBot="1">
      <c r="A31" s="69" t="s">
        <v>101</v>
      </c>
      <c r="B31" s="544"/>
      <c r="C31" s="544"/>
      <c r="D31" s="544"/>
      <c r="E31" s="544"/>
      <c r="F31" s="544"/>
      <c r="G31" s="76">
        <v>421</v>
      </c>
    </row>
    <row r="32" spans="1:7" ht="16.5" thickBot="1">
      <c r="A32" s="785" t="s">
        <v>621</v>
      </c>
      <c r="B32" s="786"/>
      <c r="C32" s="786"/>
      <c r="D32" s="786"/>
      <c r="E32" s="786"/>
      <c r="F32" s="698" t="s">
        <v>657</v>
      </c>
      <c r="G32" s="698" t="s">
        <v>658</v>
      </c>
    </row>
    <row r="33" spans="1:7" ht="16.5" thickBot="1">
      <c r="A33" s="362" t="s">
        <v>659</v>
      </c>
      <c r="B33" s="362" t="s">
        <v>660</v>
      </c>
      <c r="C33" s="362" t="s">
        <v>661</v>
      </c>
      <c r="D33" s="362" t="s">
        <v>625</v>
      </c>
      <c r="E33" s="691" t="s">
        <v>662</v>
      </c>
      <c r="F33" s="699" t="s">
        <v>663</v>
      </c>
      <c r="G33" s="699"/>
    </row>
    <row r="34" spans="1:7" ht="15.75">
      <c r="A34" s="700">
        <v>4</v>
      </c>
      <c r="B34" s="701"/>
      <c r="C34" s="701"/>
      <c r="D34" s="701"/>
      <c r="E34" s="702"/>
      <c r="F34" s="703" t="s">
        <v>539</v>
      </c>
      <c r="G34" s="704">
        <f>+G35+G41+G43</f>
        <v>1493690</v>
      </c>
    </row>
    <row r="35" spans="1:7" ht="15.75">
      <c r="A35" s="705">
        <v>4</v>
      </c>
      <c r="B35" s="706">
        <v>1</v>
      </c>
      <c r="C35" s="706"/>
      <c r="D35" s="706"/>
      <c r="E35" s="707"/>
      <c r="F35" s="708" t="s">
        <v>664</v>
      </c>
      <c r="G35" s="709">
        <f>+G36+G39+G40</f>
        <v>893690</v>
      </c>
    </row>
    <row r="36" spans="1:7" ht="15.75">
      <c r="A36" s="705">
        <v>4</v>
      </c>
      <c r="B36" s="706">
        <v>1</v>
      </c>
      <c r="C36" s="706">
        <v>1</v>
      </c>
      <c r="D36" s="706"/>
      <c r="E36" s="707"/>
      <c r="F36" s="708" t="s">
        <v>644</v>
      </c>
      <c r="G36" s="709">
        <f>+G37+G38</f>
        <v>775570</v>
      </c>
    </row>
    <row r="37" spans="1:7" ht="15.75">
      <c r="A37" s="705">
        <v>4</v>
      </c>
      <c r="B37" s="706">
        <v>1</v>
      </c>
      <c r="C37" s="706">
        <v>1</v>
      </c>
      <c r="D37" s="706">
        <v>1</v>
      </c>
      <c r="E37" s="707"/>
      <c r="F37" s="708" t="s">
        <v>665</v>
      </c>
      <c r="G37" s="709">
        <f>+ANEXO5!C$138</f>
        <v>648800</v>
      </c>
    </row>
    <row r="38" spans="1:7" ht="15.75">
      <c r="A38" s="705">
        <v>4</v>
      </c>
      <c r="B38" s="706">
        <v>1</v>
      </c>
      <c r="C38" s="706">
        <v>1</v>
      </c>
      <c r="D38" s="706">
        <v>2</v>
      </c>
      <c r="E38" s="707"/>
      <c r="F38" s="708" t="s">
        <v>682</v>
      </c>
      <c r="G38" s="709">
        <f>+ANEXO5!C$157</f>
        <v>126770</v>
      </c>
    </row>
    <row r="39" spans="1:7" ht="15.75">
      <c r="A39" s="705">
        <v>4</v>
      </c>
      <c r="B39" s="706">
        <v>1</v>
      </c>
      <c r="C39" s="706">
        <v>2</v>
      </c>
      <c r="D39" s="706"/>
      <c r="E39" s="707"/>
      <c r="F39" s="708" t="s">
        <v>645</v>
      </c>
      <c r="G39" s="709">
        <f>+ANEXO5!C$185</f>
        <v>52360</v>
      </c>
    </row>
    <row r="40" spans="1:7" ht="15.75">
      <c r="A40" s="705">
        <v>4</v>
      </c>
      <c r="B40" s="706">
        <v>1</v>
      </c>
      <c r="C40" s="706">
        <v>3</v>
      </c>
      <c r="D40" s="706"/>
      <c r="E40" s="707"/>
      <c r="F40" s="708" t="s">
        <v>646</v>
      </c>
      <c r="G40" s="709">
        <f>+ANEXO5!C$212</f>
        <v>65760</v>
      </c>
    </row>
    <row r="41" spans="1:7" ht="15.75">
      <c r="A41" s="705">
        <v>4</v>
      </c>
      <c r="B41" s="706">
        <v>2</v>
      </c>
      <c r="C41" s="706"/>
      <c r="D41" s="706"/>
      <c r="E41" s="707"/>
      <c r="F41" s="708" t="s">
        <v>683</v>
      </c>
      <c r="G41" s="709">
        <f>+G42</f>
        <v>0</v>
      </c>
    </row>
    <row r="42" spans="1:7" ht="15.75">
      <c r="A42" s="705">
        <v>4</v>
      </c>
      <c r="B42" s="706">
        <v>2</v>
      </c>
      <c r="C42" s="706">
        <v>1</v>
      </c>
      <c r="D42" s="706"/>
      <c r="E42" s="707"/>
      <c r="F42" s="708" t="s">
        <v>684</v>
      </c>
      <c r="G42" s="710"/>
    </row>
    <row r="43" spans="1:7" ht="15.75">
      <c r="A43" s="705">
        <v>4</v>
      </c>
      <c r="B43" s="706">
        <v>3</v>
      </c>
      <c r="C43" s="706"/>
      <c r="D43" s="706"/>
      <c r="E43" s="707"/>
      <c r="F43" s="708" t="s">
        <v>685</v>
      </c>
      <c r="G43" s="709">
        <f>+G44</f>
        <v>600000</v>
      </c>
    </row>
    <row r="44" spans="1:7" ht="15.75">
      <c r="A44" s="705">
        <v>4</v>
      </c>
      <c r="B44" s="706">
        <v>3</v>
      </c>
      <c r="C44" s="706">
        <v>1</v>
      </c>
      <c r="D44" s="706"/>
      <c r="E44" s="707"/>
      <c r="F44" s="708" t="s">
        <v>648</v>
      </c>
      <c r="G44" s="710">
        <v>600000</v>
      </c>
    </row>
    <row r="45" spans="1:7" ht="15.75">
      <c r="A45" s="711">
        <v>5</v>
      </c>
      <c r="B45" s="706"/>
      <c r="C45" s="706"/>
      <c r="D45" s="706"/>
      <c r="E45" s="707"/>
      <c r="F45" s="708" t="s">
        <v>548</v>
      </c>
      <c r="G45" s="709">
        <f>+G46+G49+G50</f>
        <v>0</v>
      </c>
    </row>
    <row r="46" spans="1:7" ht="15.75">
      <c r="A46" s="705">
        <v>5</v>
      </c>
      <c r="B46" s="706">
        <v>1</v>
      </c>
      <c r="C46" s="706"/>
      <c r="D46" s="706"/>
      <c r="E46" s="707"/>
      <c r="F46" s="708" t="s">
        <v>686</v>
      </c>
      <c r="G46" s="709">
        <f>+G47+G48</f>
        <v>0</v>
      </c>
    </row>
    <row r="47" spans="1:7" ht="15.75">
      <c r="A47" s="705">
        <v>5</v>
      </c>
      <c r="B47" s="706">
        <v>1</v>
      </c>
      <c r="C47" s="706">
        <v>1</v>
      </c>
      <c r="D47" s="706"/>
      <c r="E47" s="707"/>
      <c r="F47" s="708" t="s">
        <v>649</v>
      </c>
      <c r="G47" s="710">
        <f>+ANEXO5!C$228</f>
        <v>0</v>
      </c>
    </row>
    <row r="48" spans="1:7" ht="15.75">
      <c r="A48" s="705">
        <v>5</v>
      </c>
      <c r="B48" s="706">
        <v>1</v>
      </c>
      <c r="C48" s="706">
        <v>2</v>
      </c>
      <c r="D48" s="706"/>
      <c r="E48" s="706"/>
      <c r="F48" s="708" t="s">
        <v>650</v>
      </c>
      <c r="G48" s="710"/>
    </row>
    <row r="49" spans="1:7" ht="15.75">
      <c r="A49" s="705">
        <v>5</v>
      </c>
      <c r="B49" s="706">
        <v>2</v>
      </c>
      <c r="C49" s="706"/>
      <c r="D49" s="706"/>
      <c r="E49" s="706"/>
      <c r="F49" s="708" t="s">
        <v>687</v>
      </c>
      <c r="G49" s="709">
        <v>0</v>
      </c>
    </row>
    <row r="50" spans="1:7" ht="15.75">
      <c r="A50" s="705">
        <v>5</v>
      </c>
      <c r="B50" s="706">
        <v>3</v>
      </c>
      <c r="C50" s="706"/>
      <c r="D50" s="706"/>
      <c r="E50" s="706"/>
      <c r="F50" s="708" t="s">
        <v>688</v>
      </c>
      <c r="G50" s="709">
        <f>+G51</f>
        <v>0</v>
      </c>
    </row>
    <row r="51" spans="1:7" ht="15.75">
      <c r="A51" s="705">
        <v>5</v>
      </c>
      <c r="B51" s="706">
        <v>3</v>
      </c>
      <c r="C51" s="706">
        <v>1</v>
      </c>
      <c r="D51" s="706"/>
      <c r="E51" s="706"/>
      <c r="F51" s="708" t="s">
        <v>651</v>
      </c>
      <c r="G51" s="710"/>
    </row>
    <row r="52" spans="1:7" ht="15.75">
      <c r="A52" s="711">
        <v>6</v>
      </c>
      <c r="B52" s="706"/>
      <c r="C52" s="706"/>
      <c r="D52" s="706"/>
      <c r="E52" s="706"/>
      <c r="F52" s="708" t="s">
        <v>553</v>
      </c>
      <c r="G52" s="709">
        <f>+G53</f>
        <v>0</v>
      </c>
    </row>
    <row r="53" spans="1:7" ht="15.75">
      <c r="A53" s="705">
        <v>6</v>
      </c>
      <c r="B53" s="706">
        <v>1</v>
      </c>
      <c r="C53" s="706"/>
      <c r="D53" s="706"/>
      <c r="E53" s="706"/>
      <c r="F53" s="708" t="s">
        <v>689</v>
      </c>
      <c r="G53" s="709">
        <f>+G54</f>
        <v>0</v>
      </c>
    </row>
    <row r="54" spans="1:7" ht="16.5" thickBot="1">
      <c r="A54" s="712">
        <v>6</v>
      </c>
      <c r="B54" s="713">
        <v>1</v>
      </c>
      <c r="C54" s="713">
        <v>1</v>
      </c>
      <c r="D54" s="713"/>
      <c r="E54" s="713"/>
      <c r="F54" s="714" t="s">
        <v>652</v>
      </c>
      <c r="G54" s="715"/>
    </row>
    <row r="55" spans="1:7" ht="16.5" thickBot="1">
      <c r="A55" s="544"/>
      <c r="B55" s="544"/>
      <c r="C55" s="544"/>
      <c r="D55" s="544"/>
      <c r="E55" s="544"/>
      <c r="F55" s="699" t="s">
        <v>690</v>
      </c>
      <c r="G55" s="716">
        <f>+G34+G45+G52</f>
        <v>1493690</v>
      </c>
    </row>
    <row r="56" spans="1:7" ht="15">
      <c r="A56" s="544"/>
      <c r="B56" s="544"/>
      <c r="C56" s="544"/>
      <c r="D56" s="544"/>
      <c r="E56" s="544"/>
      <c r="F56" s="544"/>
      <c r="G56" s="735"/>
    </row>
    <row r="57" spans="1:7" ht="15.75">
      <c r="A57" s="544"/>
      <c r="B57" s="544"/>
      <c r="C57" s="544"/>
      <c r="D57" s="544"/>
      <c r="E57" s="544"/>
      <c r="F57" s="69" t="s">
        <v>366</v>
      </c>
      <c r="G57" s="735"/>
    </row>
    <row r="58" spans="1:7" ht="15.75">
      <c r="A58" s="783" t="str">
        <f>+A30</f>
        <v>PRESUPUESTO AÑO 2008</v>
      </c>
      <c r="B58" s="784"/>
      <c r="C58" s="784"/>
      <c r="D58" s="784"/>
      <c r="E58" s="784"/>
      <c r="F58" s="784"/>
      <c r="G58" s="784"/>
    </row>
    <row r="59" spans="1:7" ht="16.5" thickBot="1">
      <c r="A59" s="69" t="s">
        <v>720</v>
      </c>
      <c r="B59" s="544"/>
      <c r="C59" s="544"/>
      <c r="D59" s="544"/>
      <c r="E59" s="544"/>
      <c r="F59" s="544"/>
      <c r="G59" s="76">
        <v>422</v>
      </c>
    </row>
    <row r="60" spans="1:7" ht="16.5" thickBot="1">
      <c r="A60" s="785" t="s">
        <v>621</v>
      </c>
      <c r="B60" s="786"/>
      <c r="C60" s="786"/>
      <c r="D60" s="786"/>
      <c r="E60" s="786"/>
      <c r="F60" s="698" t="s">
        <v>657</v>
      </c>
      <c r="G60" s="698" t="s">
        <v>658</v>
      </c>
    </row>
    <row r="61" spans="1:7" ht="16.5" thickBot="1">
      <c r="A61" s="362" t="s">
        <v>659</v>
      </c>
      <c r="B61" s="362" t="s">
        <v>660</v>
      </c>
      <c r="C61" s="362" t="s">
        <v>661</v>
      </c>
      <c r="D61" s="362" t="s">
        <v>625</v>
      </c>
      <c r="E61" s="691" t="s">
        <v>662</v>
      </c>
      <c r="F61" s="699" t="s">
        <v>663</v>
      </c>
      <c r="G61" s="699"/>
    </row>
    <row r="62" spans="1:7" ht="15.75">
      <c r="A62" s="700">
        <v>4</v>
      </c>
      <c r="B62" s="701"/>
      <c r="C62" s="701"/>
      <c r="D62" s="701"/>
      <c r="E62" s="702"/>
      <c r="F62" s="703" t="s">
        <v>539</v>
      </c>
      <c r="G62" s="704">
        <f>+G63+G69+G71</f>
        <v>3104130</v>
      </c>
    </row>
    <row r="63" spans="1:7" ht="15.75">
      <c r="A63" s="705">
        <v>4</v>
      </c>
      <c r="B63" s="706">
        <v>1</v>
      </c>
      <c r="C63" s="706"/>
      <c r="D63" s="706"/>
      <c r="E63" s="707"/>
      <c r="F63" s="708" t="s">
        <v>664</v>
      </c>
      <c r="G63" s="709">
        <f>+G64+G67+G68</f>
        <v>3104130</v>
      </c>
    </row>
    <row r="64" spans="1:7" ht="15.75">
      <c r="A64" s="705">
        <v>4</v>
      </c>
      <c r="B64" s="706">
        <v>1</v>
      </c>
      <c r="C64" s="706">
        <v>1</v>
      </c>
      <c r="D64" s="706"/>
      <c r="E64" s="707"/>
      <c r="F64" s="708" t="s">
        <v>644</v>
      </c>
      <c r="G64" s="709">
        <f>+G65+G66</f>
        <v>2686100</v>
      </c>
    </row>
    <row r="65" spans="1:7" ht="15.75">
      <c r="A65" s="705">
        <v>4</v>
      </c>
      <c r="B65" s="706">
        <v>1</v>
      </c>
      <c r="C65" s="706">
        <v>1</v>
      </c>
      <c r="D65" s="706">
        <v>1</v>
      </c>
      <c r="E65" s="707"/>
      <c r="F65" s="708" t="s">
        <v>665</v>
      </c>
      <c r="G65" s="709">
        <f>+ANEXO5!D$138</f>
        <v>2510060</v>
      </c>
    </row>
    <row r="66" spans="1:7" ht="15.75">
      <c r="A66" s="705">
        <v>4</v>
      </c>
      <c r="B66" s="706">
        <v>1</v>
      </c>
      <c r="C66" s="706">
        <v>1</v>
      </c>
      <c r="D66" s="706">
        <v>2</v>
      </c>
      <c r="E66" s="707"/>
      <c r="F66" s="708" t="s">
        <v>682</v>
      </c>
      <c r="G66" s="709">
        <f>+ANEXO5!D$157</f>
        <v>176040</v>
      </c>
    </row>
    <row r="67" spans="1:7" ht="15.75">
      <c r="A67" s="705">
        <v>4</v>
      </c>
      <c r="B67" s="706">
        <v>1</v>
      </c>
      <c r="C67" s="706">
        <v>2</v>
      </c>
      <c r="D67" s="706"/>
      <c r="E67" s="707"/>
      <c r="F67" s="708" t="s">
        <v>645</v>
      </c>
      <c r="G67" s="709">
        <f>+ANEXO5!D$185</f>
        <v>125000</v>
      </c>
    </row>
    <row r="68" spans="1:7" ht="15.75">
      <c r="A68" s="705">
        <v>4</v>
      </c>
      <c r="B68" s="706">
        <v>1</v>
      </c>
      <c r="C68" s="706">
        <v>3</v>
      </c>
      <c r="D68" s="706"/>
      <c r="E68" s="707"/>
      <c r="F68" s="708" t="s">
        <v>646</v>
      </c>
      <c r="G68" s="709">
        <f>+ANEXO5!D$212</f>
        <v>293030</v>
      </c>
    </row>
    <row r="69" spans="1:7" ht="15.75">
      <c r="A69" s="705">
        <v>4</v>
      </c>
      <c r="B69" s="706">
        <v>2</v>
      </c>
      <c r="C69" s="706"/>
      <c r="D69" s="706"/>
      <c r="E69" s="707"/>
      <c r="F69" s="708" t="s">
        <v>683</v>
      </c>
      <c r="G69" s="709">
        <f>+G70</f>
        <v>0</v>
      </c>
    </row>
    <row r="70" spans="1:7" ht="15.75">
      <c r="A70" s="705">
        <v>4</v>
      </c>
      <c r="B70" s="706">
        <v>2</v>
      </c>
      <c r="C70" s="706">
        <v>1</v>
      </c>
      <c r="D70" s="706"/>
      <c r="E70" s="707"/>
      <c r="F70" s="708" t="s">
        <v>684</v>
      </c>
      <c r="G70" s="710"/>
    </row>
    <row r="71" spans="1:7" ht="15.75">
      <c r="A71" s="705">
        <v>4</v>
      </c>
      <c r="B71" s="706">
        <v>3</v>
      </c>
      <c r="C71" s="706"/>
      <c r="D71" s="706"/>
      <c r="E71" s="707"/>
      <c r="F71" s="708" t="s">
        <v>685</v>
      </c>
      <c r="G71" s="709">
        <f>+G72</f>
        <v>0</v>
      </c>
    </row>
    <row r="72" spans="1:7" ht="15.75">
      <c r="A72" s="705">
        <v>4</v>
      </c>
      <c r="B72" s="706">
        <v>3</v>
      </c>
      <c r="C72" s="706">
        <v>1</v>
      </c>
      <c r="D72" s="706"/>
      <c r="E72" s="707"/>
      <c r="F72" s="708" t="s">
        <v>648</v>
      </c>
      <c r="G72" s="710"/>
    </row>
    <row r="73" spans="1:7" ht="15.75">
      <c r="A73" s="711">
        <v>5</v>
      </c>
      <c r="B73" s="706"/>
      <c r="C73" s="706"/>
      <c r="D73" s="706"/>
      <c r="E73" s="707"/>
      <c r="F73" s="708" t="s">
        <v>548</v>
      </c>
      <c r="G73" s="709">
        <f>+G74+G77+G78</f>
        <v>7010410</v>
      </c>
    </row>
    <row r="74" spans="1:7" ht="15.75">
      <c r="A74" s="705">
        <v>5</v>
      </c>
      <c r="B74" s="706">
        <v>1</v>
      </c>
      <c r="C74" s="706"/>
      <c r="D74" s="706"/>
      <c r="E74" s="707"/>
      <c r="F74" s="708" t="s">
        <v>686</v>
      </c>
      <c r="G74" s="709">
        <f>+G75+G76</f>
        <v>7010410</v>
      </c>
    </row>
    <row r="75" spans="1:7" ht="15.75">
      <c r="A75" s="705">
        <v>5</v>
      </c>
      <c r="B75" s="706">
        <v>1</v>
      </c>
      <c r="C75" s="706">
        <v>1</v>
      </c>
      <c r="D75" s="706"/>
      <c r="E75" s="707"/>
      <c r="F75" s="708" t="s">
        <v>649</v>
      </c>
      <c r="G75" s="710">
        <f>+ANEXO5!D$228</f>
        <v>7200</v>
      </c>
    </row>
    <row r="76" spans="1:7" ht="15.75">
      <c r="A76" s="705">
        <v>5</v>
      </c>
      <c r="B76" s="706">
        <v>1</v>
      </c>
      <c r="C76" s="706">
        <v>2</v>
      </c>
      <c r="D76" s="706"/>
      <c r="E76" s="706"/>
      <c r="F76" s="708" t="s">
        <v>47</v>
      </c>
      <c r="G76" s="710">
        <v>7003210</v>
      </c>
    </row>
    <row r="77" spans="1:7" ht="15.75">
      <c r="A77" s="705">
        <v>5</v>
      </c>
      <c r="B77" s="706">
        <v>2</v>
      </c>
      <c r="C77" s="706"/>
      <c r="D77" s="706"/>
      <c r="E77" s="706"/>
      <c r="F77" s="708" t="s">
        <v>687</v>
      </c>
      <c r="G77" s="709">
        <v>0</v>
      </c>
    </row>
    <row r="78" spans="1:7" ht="15.75">
      <c r="A78" s="705">
        <v>5</v>
      </c>
      <c r="B78" s="706">
        <v>3</v>
      </c>
      <c r="C78" s="706"/>
      <c r="D78" s="706"/>
      <c r="E78" s="706"/>
      <c r="F78" s="708" t="s">
        <v>688</v>
      </c>
      <c r="G78" s="709">
        <f>+G79</f>
        <v>0</v>
      </c>
    </row>
    <row r="79" spans="1:7" ht="15.75">
      <c r="A79" s="705">
        <v>5</v>
      </c>
      <c r="B79" s="706">
        <v>3</v>
      </c>
      <c r="C79" s="706">
        <v>1</v>
      </c>
      <c r="D79" s="706"/>
      <c r="E79" s="706"/>
      <c r="F79" s="708" t="s">
        <v>651</v>
      </c>
      <c r="G79" s="710"/>
    </row>
    <row r="80" spans="1:7" ht="15.75">
      <c r="A80" s="711">
        <v>6</v>
      </c>
      <c r="B80" s="706"/>
      <c r="C80" s="706"/>
      <c r="D80" s="706"/>
      <c r="E80" s="706"/>
      <c r="F80" s="708" t="s">
        <v>553</v>
      </c>
      <c r="G80" s="709">
        <f>+G81</f>
        <v>0</v>
      </c>
    </row>
    <row r="81" spans="1:7" ht="15.75">
      <c r="A81" s="705">
        <v>6</v>
      </c>
      <c r="B81" s="706">
        <v>1</v>
      </c>
      <c r="C81" s="706"/>
      <c r="D81" s="706"/>
      <c r="E81" s="706"/>
      <c r="F81" s="708" t="s">
        <v>689</v>
      </c>
      <c r="G81" s="709">
        <f>+G82</f>
        <v>0</v>
      </c>
    </row>
    <row r="82" spans="1:7" ht="16.5" thickBot="1">
      <c r="A82" s="712">
        <v>6</v>
      </c>
      <c r="B82" s="713">
        <v>1</v>
      </c>
      <c r="C82" s="713">
        <v>1</v>
      </c>
      <c r="D82" s="713"/>
      <c r="E82" s="713"/>
      <c r="F82" s="714" t="s">
        <v>652</v>
      </c>
      <c r="G82" s="715"/>
    </row>
    <row r="83" spans="1:7" ht="16.5" thickBot="1">
      <c r="A83" s="544"/>
      <c r="B83" s="544"/>
      <c r="C83" s="544"/>
      <c r="D83" s="544"/>
      <c r="E83" s="544"/>
      <c r="F83" s="699" t="s">
        <v>690</v>
      </c>
      <c r="G83" s="716">
        <f>+G62+G73+G80</f>
        <v>10114540</v>
      </c>
    </row>
    <row r="84" spans="1:7" ht="15">
      <c r="A84" s="544" t="s">
        <v>48</v>
      </c>
      <c r="B84" s="544"/>
      <c r="C84" s="544"/>
      <c r="D84" s="544"/>
      <c r="E84" s="544"/>
      <c r="F84" s="544"/>
      <c r="G84" s="735"/>
    </row>
    <row r="85" spans="1:7" ht="15">
      <c r="A85" s="544"/>
      <c r="B85" s="544"/>
      <c r="C85" s="544"/>
      <c r="D85" s="544"/>
      <c r="E85" s="544"/>
      <c r="F85" s="544"/>
      <c r="G85" s="735"/>
    </row>
    <row r="86" spans="1:7" ht="15.75">
      <c r="A86" s="544"/>
      <c r="B86" s="544"/>
      <c r="C86" s="544"/>
      <c r="D86" s="544"/>
      <c r="E86" s="544"/>
      <c r="F86" s="69" t="s">
        <v>366</v>
      </c>
      <c r="G86" s="735"/>
    </row>
    <row r="87" spans="1:7" ht="15.75">
      <c r="A87" s="783" t="str">
        <f>+A58</f>
        <v>PRESUPUESTO AÑO 2008</v>
      </c>
      <c r="B87" s="784"/>
      <c r="C87" s="784"/>
      <c r="D87" s="784"/>
      <c r="E87" s="784"/>
      <c r="F87" s="784"/>
      <c r="G87" s="784"/>
    </row>
    <row r="88" spans="1:7" ht="16.5" thickBot="1">
      <c r="A88" s="69" t="s">
        <v>721</v>
      </c>
      <c r="B88" s="544"/>
      <c r="C88" s="544"/>
      <c r="D88" s="544"/>
      <c r="E88" s="544"/>
      <c r="F88" s="544"/>
      <c r="G88" s="76">
        <v>423</v>
      </c>
    </row>
    <row r="89" spans="1:7" ht="16.5" thickBot="1">
      <c r="A89" s="785" t="s">
        <v>621</v>
      </c>
      <c r="B89" s="786"/>
      <c r="C89" s="786"/>
      <c r="D89" s="786"/>
      <c r="E89" s="786"/>
      <c r="F89" s="698" t="s">
        <v>657</v>
      </c>
      <c r="G89" s="698" t="s">
        <v>658</v>
      </c>
    </row>
    <row r="90" spans="1:7" ht="16.5" thickBot="1">
      <c r="A90" s="362" t="s">
        <v>659</v>
      </c>
      <c r="B90" s="362" t="s">
        <v>660</v>
      </c>
      <c r="C90" s="362" t="s">
        <v>661</v>
      </c>
      <c r="D90" s="362" t="s">
        <v>625</v>
      </c>
      <c r="E90" s="691" t="s">
        <v>662</v>
      </c>
      <c r="F90" s="699" t="s">
        <v>663</v>
      </c>
      <c r="G90" s="699"/>
    </row>
    <row r="91" spans="1:7" ht="15.75">
      <c r="A91" s="700">
        <v>4</v>
      </c>
      <c r="B91" s="701"/>
      <c r="C91" s="701"/>
      <c r="D91" s="701"/>
      <c r="E91" s="702"/>
      <c r="F91" s="703" t="s">
        <v>539</v>
      </c>
      <c r="G91" s="704">
        <f>+G92+G98+G100</f>
        <v>2556640</v>
      </c>
    </row>
    <row r="92" spans="1:7" ht="15.75">
      <c r="A92" s="705">
        <v>4</v>
      </c>
      <c r="B92" s="706">
        <v>1</v>
      </c>
      <c r="C92" s="706"/>
      <c r="D92" s="706"/>
      <c r="E92" s="707"/>
      <c r="F92" s="708" t="s">
        <v>664</v>
      </c>
      <c r="G92" s="709">
        <f>+G93+G96+G97</f>
        <v>2556640</v>
      </c>
    </row>
    <row r="93" spans="1:7" ht="15.75">
      <c r="A93" s="705">
        <v>4</v>
      </c>
      <c r="B93" s="706">
        <v>1</v>
      </c>
      <c r="C93" s="706">
        <v>1</v>
      </c>
      <c r="D93" s="706"/>
      <c r="E93" s="707"/>
      <c r="F93" s="708" t="s">
        <v>644</v>
      </c>
      <c r="G93" s="709">
        <f>+G94+G95</f>
        <v>1359740</v>
      </c>
    </row>
    <row r="94" spans="1:7" ht="15.75">
      <c r="A94" s="705">
        <v>4</v>
      </c>
      <c r="B94" s="706">
        <v>1</v>
      </c>
      <c r="C94" s="706">
        <v>1</v>
      </c>
      <c r="D94" s="706">
        <v>1</v>
      </c>
      <c r="E94" s="707"/>
      <c r="F94" s="708" t="s">
        <v>665</v>
      </c>
      <c r="G94" s="709">
        <f>+ANEXO5!E$138</f>
        <v>1275850</v>
      </c>
    </row>
    <row r="95" spans="1:7" ht="15.75">
      <c r="A95" s="705">
        <v>4</v>
      </c>
      <c r="B95" s="706">
        <v>1</v>
      </c>
      <c r="C95" s="706">
        <v>1</v>
      </c>
      <c r="D95" s="706">
        <v>2</v>
      </c>
      <c r="E95" s="707"/>
      <c r="F95" s="708" t="s">
        <v>682</v>
      </c>
      <c r="G95" s="709">
        <f>+ANEXO5!E$157</f>
        <v>83890</v>
      </c>
    </row>
    <row r="96" spans="1:7" ht="15.75">
      <c r="A96" s="705">
        <v>4</v>
      </c>
      <c r="B96" s="706">
        <v>1</v>
      </c>
      <c r="C96" s="706">
        <v>2</v>
      </c>
      <c r="D96" s="706"/>
      <c r="E96" s="707"/>
      <c r="F96" s="708" t="s">
        <v>645</v>
      </c>
      <c r="G96" s="709">
        <f>+ANEXO5!E$185</f>
        <v>450000</v>
      </c>
    </row>
    <row r="97" spans="1:7" ht="15.75">
      <c r="A97" s="705">
        <v>4</v>
      </c>
      <c r="B97" s="706">
        <v>1</v>
      </c>
      <c r="C97" s="706">
        <v>3</v>
      </c>
      <c r="D97" s="706"/>
      <c r="E97" s="707"/>
      <c r="F97" s="708" t="s">
        <v>646</v>
      </c>
      <c r="G97" s="709">
        <f>+ANEXO5!E$212</f>
        <v>746900</v>
      </c>
    </row>
    <row r="98" spans="1:7" ht="15.75">
      <c r="A98" s="705">
        <v>4</v>
      </c>
      <c r="B98" s="706">
        <v>2</v>
      </c>
      <c r="C98" s="706"/>
      <c r="D98" s="706"/>
      <c r="E98" s="707"/>
      <c r="F98" s="708" t="s">
        <v>683</v>
      </c>
      <c r="G98" s="709">
        <f>+G99</f>
        <v>0</v>
      </c>
    </row>
    <row r="99" spans="1:7" ht="15.75">
      <c r="A99" s="705">
        <v>4</v>
      </c>
      <c r="B99" s="706">
        <v>2</v>
      </c>
      <c r="C99" s="706">
        <v>1</v>
      </c>
      <c r="D99" s="706"/>
      <c r="E99" s="707"/>
      <c r="F99" s="708" t="s">
        <v>684</v>
      </c>
      <c r="G99" s="710"/>
    </row>
    <row r="100" spans="1:7" ht="15.75">
      <c r="A100" s="705">
        <v>4</v>
      </c>
      <c r="B100" s="706">
        <v>3</v>
      </c>
      <c r="C100" s="706"/>
      <c r="D100" s="706"/>
      <c r="E100" s="707"/>
      <c r="F100" s="708" t="s">
        <v>685</v>
      </c>
      <c r="G100" s="709">
        <f>+G101</f>
        <v>0</v>
      </c>
    </row>
    <row r="101" spans="1:7" ht="15.75">
      <c r="A101" s="705">
        <v>4</v>
      </c>
      <c r="B101" s="706">
        <v>3</v>
      </c>
      <c r="C101" s="706">
        <v>1</v>
      </c>
      <c r="D101" s="706"/>
      <c r="E101" s="707"/>
      <c r="F101" s="708" t="s">
        <v>648</v>
      </c>
      <c r="G101" s="710"/>
    </row>
    <row r="102" spans="1:7" ht="15.75">
      <c r="A102" s="711">
        <v>5</v>
      </c>
      <c r="B102" s="706"/>
      <c r="C102" s="706"/>
      <c r="D102" s="706"/>
      <c r="E102" s="707"/>
      <c r="F102" s="708" t="s">
        <v>548</v>
      </c>
      <c r="G102" s="709">
        <f>+G103+G106+G107</f>
        <v>4556220</v>
      </c>
    </row>
    <row r="103" spans="1:7" ht="15.75">
      <c r="A103" s="705">
        <v>5</v>
      </c>
      <c r="B103" s="706">
        <v>1</v>
      </c>
      <c r="C103" s="706"/>
      <c r="D103" s="706"/>
      <c r="E103" s="707"/>
      <c r="F103" s="708" t="s">
        <v>686</v>
      </c>
      <c r="G103" s="709">
        <f>+G104+G105</f>
        <v>4556220</v>
      </c>
    </row>
    <row r="104" spans="1:7" ht="15.75">
      <c r="A104" s="705">
        <v>5</v>
      </c>
      <c r="B104" s="706">
        <v>1</v>
      </c>
      <c r="C104" s="706">
        <v>1</v>
      </c>
      <c r="D104" s="706"/>
      <c r="E104" s="707"/>
      <c r="F104" s="708" t="s">
        <v>649</v>
      </c>
      <c r="G104" s="710">
        <f>+ANEXO5!E$228</f>
        <v>310700</v>
      </c>
    </row>
    <row r="105" spans="1:7" ht="15.75">
      <c r="A105" s="705">
        <v>5</v>
      </c>
      <c r="B105" s="706">
        <v>1</v>
      </c>
      <c r="C105" s="706">
        <v>2</v>
      </c>
      <c r="D105" s="706"/>
      <c r="E105" s="706"/>
      <c r="F105" s="708" t="s">
        <v>47</v>
      </c>
      <c r="G105" s="710">
        <v>4245520</v>
      </c>
    </row>
    <row r="106" spans="1:7" ht="15.75">
      <c r="A106" s="705">
        <v>5</v>
      </c>
      <c r="B106" s="706">
        <v>2</v>
      </c>
      <c r="C106" s="706"/>
      <c r="D106" s="706"/>
      <c r="E106" s="706"/>
      <c r="F106" s="708" t="s">
        <v>687</v>
      </c>
      <c r="G106" s="709">
        <v>0</v>
      </c>
    </row>
    <row r="107" spans="1:7" ht="15.75">
      <c r="A107" s="705">
        <v>5</v>
      </c>
      <c r="B107" s="706">
        <v>3</v>
      </c>
      <c r="C107" s="706"/>
      <c r="D107" s="706"/>
      <c r="E107" s="706"/>
      <c r="F107" s="708" t="s">
        <v>688</v>
      </c>
      <c r="G107" s="709">
        <f>+G108</f>
        <v>0</v>
      </c>
    </row>
    <row r="108" spans="1:7" ht="15.75">
      <c r="A108" s="705">
        <v>5</v>
      </c>
      <c r="B108" s="706">
        <v>3</v>
      </c>
      <c r="C108" s="706">
        <v>1</v>
      </c>
      <c r="D108" s="706"/>
      <c r="E108" s="706"/>
      <c r="F108" s="708" t="s">
        <v>651</v>
      </c>
      <c r="G108" s="710"/>
    </row>
    <row r="109" spans="1:7" ht="15.75">
      <c r="A109" s="711">
        <v>6</v>
      </c>
      <c r="B109" s="706"/>
      <c r="C109" s="706"/>
      <c r="D109" s="706"/>
      <c r="E109" s="706"/>
      <c r="F109" s="708" t="s">
        <v>553</v>
      </c>
      <c r="G109" s="709">
        <f>+G110</f>
        <v>0</v>
      </c>
    </row>
    <row r="110" spans="1:7" ht="15.75">
      <c r="A110" s="705">
        <v>6</v>
      </c>
      <c r="B110" s="706">
        <v>1</v>
      </c>
      <c r="C110" s="706"/>
      <c r="D110" s="706"/>
      <c r="E110" s="706"/>
      <c r="F110" s="708" t="s">
        <v>689</v>
      </c>
      <c r="G110" s="709">
        <f>+G111</f>
        <v>0</v>
      </c>
    </row>
    <row r="111" spans="1:7" ht="16.5" thickBot="1">
      <c r="A111" s="712">
        <v>6</v>
      </c>
      <c r="B111" s="713">
        <v>1</v>
      </c>
      <c r="C111" s="713">
        <v>1</v>
      </c>
      <c r="D111" s="713"/>
      <c r="E111" s="713"/>
      <c r="F111" s="714" t="s">
        <v>652</v>
      </c>
      <c r="G111" s="715"/>
    </row>
    <row r="112" spans="1:7" ht="16.5" thickBot="1">
      <c r="A112" s="544"/>
      <c r="B112" s="544"/>
      <c r="C112" s="544"/>
      <c r="D112" s="544"/>
      <c r="E112" s="544"/>
      <c r="F112" s="699" t="s">
        <v>690</v>
      </c>
      <c r="G112" s="716">
        <f>+G91+G102+G109</f>
        <v>7112860</v>
      </c>
    </row>
    <row r="113" spans="1:7" ht="15">
      <c r="A113" s="544" t="s">
        <v>48</v>
      </c>
      <c r="B113" s="544"/>
      <c r="C113" s="544"/>
      <c r="D113" s="544"/>
      <c r="E113" s="544"/>
      <c r="F113" s="544"/>
      <c r="G113" s="735"/>
    </row>
    <row r="114" spans="1:7" ht="15.75">
      <c r="A114" s="544" t="s">
        <v>374</v>
      </c>
      <c r="B114" s="544"/>
      <c r="C114" s="544"/>
      <c r="D114" s="544"/>
      <c r="E114" s="544"/>
      <c r="F114" s="69" t="s">
        <v>366</v>
      </c>
      <c r="G114" s="735"/>
    </row>
    <row r="115" spans="1:7" ht="15.75">
      <c r="A115" s="783" t="str">
        <f>+A87</f>
        <v>PRESUPUESTO AÑO 2008</v>
      </c>
      <c r="B115" s="784"/>
      <c r="C115" s="784"/>
      <c r="D115" s="784"/>
      <c r="E115" s="784"/>
      <c r="F115" s="784"/>
      <c r="G115" s="784"/>
    </row>
    <row r="116" spans="1:7" ht="16.5" thickBot="1">
      <c r="A116" s="69" t="s">
        <v>722</v>
      </c>
      <c r="B116" s="544"/>
      <c r="C116" s="544"/>
      <c r="D116" s="544"/>
      <c r="E116" s="544"/>
      <c r="F116" s="544"/>
      <c r="G116" s="76">
        <v>424</v>
      </c>
    </row>
    <row r="117" spans="1:7" ht="16.5" thickBot="1">
      <c r="A117" s="785" t="s">
        <v>621</v>
      </c>
      <c r="B117" s="786"/>
      <c r="C117" s="786"/>
      <c r="D117" s="786"/>
      <c r="E117" s="786"/>
      <c r="F117" s="698" t="s">
        <v>657</v>
      </c>
      <c r="G117" s="698" t="s">
        <v>658</v>
      </c>
    </row>
    <row r="118" spans="1:7" ht="16.5" thickBot="1">
      <c r="A118" s="362" t="s">
        <v>659</v>
      </c>
      <c r="B118" s="362" t="s">
        <v>660</v>
      </c>
      <c r="C118" s="362" t="s">
        <v>661</v>
      </c>
      <c r="D118" s="362" t="s">
        <v>625</v>
      </c>
      <c r="E118" s="691" t="s">
        <v>662</v>
      </c>
      <c r="F118" s="699" t="s">
        <v>663</v>
      </c>
      <c r="G118" s="699"/>
    </row>
    <row r="119" spans="1:7" ht="15.75">
      <c r="A119" s="700">
        <v>4</v>
      </c>
      <c r="B119" s="701"/>
      <c r="C119" s="701"/>
      <c r="D119" s="701"/>
      <c r="E119" s="702"/>
      <c r="F119" s="703" t="s">
        <v>539</v>
      </c>
      <c r="G119" s="704">
        <f>+G120+G126+G128</f>
        <v>1198560</v>
      </c>
    </row>
    <row r="120" spans="1:7" ht="15.75">
      <c r="A120" s="705">
        <v>4</v>
      </c>
      <c r="B120" s="706">
        <v>1</v>
      </c>
      <c r="C120" s="706"/>
      <c r="D120" s="706"/>
      <c r="E120" s="707"/>
      <c r="F120" s="708" t="s">
        <v>664</v>
      </c>
      <c r="G120" s="709">
        <f>+G121+G124+G125</f>
        <v>1198560</v>
      </c>
    </row>
    <row r="121" spans="1:7" ht="15.75">
      <c r="A121" s="705">
        <v>4</v>
      </c>
      <c r="B121" s="706">
        <v>1</v>
      </c>
      <c r="C121" s="706">
        <v>1</v>
      </c>
      <c r="D121" s="706"/>
      <c r="E121" s="707"/>
      <c r="F121" s="708" t="s">
        <v>644</v>
      </c>
      <c r="G121" s="709">
        <f>+G122+G123</f>
        <v>694570</v>
      </c>
    </row>
    <row r="122" spans="1:7" ht="15.75">
      <c r="A122" s="705">
        <v>4</v>
      </c>
      <c r="B122" s="706">
        <v>1</v>
      </c>
      <c r="C122" s="706">
        <v>1</v>
      </c>
      <c r="D122" s="706">
        <v>1</v>
      </c>
      <c r="E122" s="707"/>
      <c r="F122" s="708" t="s">
        <v>665</v>
      </c>
      <c r="G122" s="709">
        <f>+ANEXO5!F$138</f>
        <v>581530</v>
      </c>
    </row>
    <row r="123" spans="1:7" ht="15.75">
      <c r="A123" s="705">
        <v>4</v>
      </c>
      <c r="B123" s="706">
        <v>1</v>
      </c>
      <c r="C123" s="706">
        <v>1</v>
      </c>
      <c r="D123" s="706">
        <v>2</v>
      </c>
      <c r="E123" s="707"/>
      <c r="F123" s="708" t="s">
        <v>682</v>
      </c>
      <c r="G123" s="709">
        <f>+ANEXO5!F$157</f>
        <v>113040</v>
      </c>
    </row>
    <row r="124" spans="1:7" ht="15.75">
      <c r="A124" s="705">
        <v>4</v>
      </c>
      <c r="B124" s="706">
        <v>1</v>
      </c>
      <c r="C124" s="706">
        <v>2</v>
      </c>
      <c r="D124" s="706"/>
      <c r="E124" s="707"/>
      <c r="F124" s="708" t="s">
        <v>645</v>
      </c>
      <c r="G124" s="709">
        <f>+ANEXO5!F$185</f>
        <v>179440</v>
      </c>
    </row>
    <row r="125" spans="1:7" ht="15.75">
      <c r="A125" s="705">
        <v>4</v>
      </c>
      <c r="B125" s="706">
        <v>1</v>
      </c>
      <c r="C125" s="706">
        <v>3</v>
      </c>
      <c r="D125" s="706"/>
      <c r="E125" s="707"/>
      <c r="F125" s="708" t="s">
        <v>646</v>
      </c>
      <c r="G125" s="709">
        <f>+ANEXO5!F$212</f>
        <v>324550</v>
      </c>
    </row>
    <row r="126" spans="1:7" ht="15.75">
      <c r="A126" s="705">
        <v>4</v>
      </c>
      <c r="B126" s="706">
        <v>2</v>
      </c>
      <c r="C126" s="706"/>
      <c r="D126" s="706"/>
      <c r="E126" s="707"/>
      <c r="F126" s="708" t="s">
        <v>683</v>
      </c>
      <c r="G126" s="709">
        <f>+G127</f>
        <v>0</v>
      </c>
    </row>
    <row r="127" spans="1:7" ht="15.75">
      <c r="A127" s="705">
        <v>4</v>
      </c>
      <c r="B127" s="706">
        <v>2</v>
      </c>
      <c r="C127" s="706">
        <v>1</v>
      </c>
      <c r="D127" s="706"/>
      <c r="E127" s="707"/>
      <c r="F127" s="708" t="s">
        <v>684</v>
      </c>
      <c r="G127" s="710"/>
    </row>
    <row r="128" spans="1:7" ht="15.75">
      <c r="A128" s="705">
        <v>4</v>
      </c>
      <c r="B128" s="706">
        <v>3</v>
      </c>
      <c r="C128" s="706"/>
      <c r="D128" s="706"/>
      <c r="E128" s="707"/>
      <c r="F128" s="708" t="s">
        <v>685</v>
      </c>
      <c r="G128" s="709">
        <f>+G129</f>
        <v>0</v>
      </c>
    </row>
    <row r="129" spans="1:7" ht="15.75">
      <c r="A129" s="705">
        <v>4</v>
      </c>
      <c r="B129" s="706">
        <v>3</v>
      </c>
      <c r="C129" s="706">
        <v>1</v>
      </c>
      <c r="D129" s="706"/>
      <c r="E129" s="707"/>
      <c r="F129" s="708" t="s">
        <v>648</v>
      </c>
      <c r="G129" s="710"/>
    </row>
    <row r="130" spans="1:7" ht="15.75">
      <c r="A130" s="711">
        <v>5</v>
      </c>
      <c r="B130" s="706"/>
      <c r="C130" s="706"/>
      <c r="D130" s="706"/>
      <c r="E130" s="707"/>
      <c r="F130" s="708" t="s">
        <v>548</v>
      </c>
      <c r="G130" s="709">
        <f>+G131+G134+G135</f>
        <v>425000</v>
      </c>
    </row>
    <row r="131" spans="1:7" ht="15.75">
      <c r="A131" s="705">
        <v>5</v>
      </c>
      <c r="B131" s="706">
        <v>1</v>
      </c>
      <c r="C131" s="706"/>
      <c r="D131" s="706"/>
      <c r="E131" s="707"/>
      <c r="F131" s="708" t="s">
        <v>686</v>
      </c>
      <c r="G131" s="709">
        <f>+G132+G133</f>
        <v>425000</v>
      </c>
    </row>
    <row r="132" spans="1:7" ht="15.75">
      <c r="A132" s="705">
        <v>5</v>
      </c>
      <c r="B132" s="706">
        <v>1</v>
      </c>
      <c r="C132" s="706">
        <v>1</v>
      </c>
      <c r="D132" s="706"/>
      <c r="E132" s="707"/>
      <c r="F132" s="708" t="s">
        <v>649</v>
      </c>
      <c r="G132" s="710">
        <f>+ANEXO5!F$228</f>
        <v>5000</v>
      </c>
    </row>
    <row r="133" spans="1:7" ht="15.75">
      <c r="A133" s="705">
        <v>5</v>
      </c>
      <c r="B133" s="706">
        <v>1</v>
      </c>
      <c r="C133" s="706">
        <v>2</v>
      </c>
      <c r="D133" s="706"/>
      <c r="E133" s="706"/>
      <c r="F133" s="708" t="s">
        <v>47</v>
      </c>
      <c r="G133" s="710">
        <v>420000</v>
      </c>
    </row>
    <row r="134" spans="1:7" ht="15.75">
      <c r="A134" s="705">
        <v>5</v>
      </c>
      <c r="B134" s="706">
        <v>2</v>
      </c>
      <c r="C134" s="706"/>
      <c r="D134" s="706"/>
      <c r="E134" s="706"/>
      <c r="F134" s="708" t="s">
        <v>687</v>
      </c>
      <c r="G134" s="709">
        <v>0</v>
      </c>
    </row>
    <row r="135" spans="1:7" ht="15.75">
      <c r="A135" s="705">
        <v>5</v>
      </c>
      <c r="B135" s="706">
        <v>3</v>
      </c>
      <c r="C135" s="706"/>
      <c r="D135" s="706"/>
      <c r="E135" s="706"/>
      <c r="F135" s="708" t="s">
        <v>688</v>
      </c>
      <c r="G135" s="709">
        <f>+G136</f>
        <v>0</v>
      </c>
    </row>
    <row r="136" spans="1:7" ht="15.75">
      <c r="A136" s="705">
        <v>5</v>
      </c>
      <c r="B136" s="706">
        <v>3</v>
      </c>
      <c r="C136" s="706">
        <v>1</v>
      </c>
      <c r="D136" s="706"/>
      <c r="E136" s="706"/>
      <c r="F136" s="708" t="s">
        <v>651</v>
      </c>
      <c r="G136" s="710"/>
    </row>
    <row r="137" spans="1:7" ht="15.75">
      <c r="A137" s="711">
        <v>6</v>
      </c>
      <c r="B137" s="706"/>
      <c r="C137" s="706"/>
      <c r="D137" s="706"/>
      <c r="E137" s="706"/>
      <c r="F137" s="708" t="s">
        <v>553</v>
      </c>
      <c r="G137" s="709">
        <f>+G138</f>
        <v>0</v>
      </c>
    </row>
    <row r="138" spans="1:7" ht="15.75">
      <c r="A138" s="705">
        <v>6</v>
      </c>
      <c r="B138" s="706">
        <v>1</v>
      </c>
      <c r="C138" s="706"/>
      <c r="D138" s="706"/>
      <c r="E138" s="706"/>
      <c r="F138" s="708" t="s">
        <v>689</v>
      </c>
      <c r="G138" s="709">
        <f>+G139</f>
        <v>0</v>
      </c>
    </row>
    <row r="139" spans="1:7" ht="16.5" thickBot="1">
      <c r="A139" s="712">
        <v>6</v>
      </c>
      <c r="B139" s="713">
        <v>1</v>
      </c>
      <c r="C139" s="713">
        <v>1</v>
      </c>
      <c r="D139" s="713"/>
      <c r="E139" s="713"/>
      <c r="F139" s="714" t="s">
        <v>652</v>
      </c>
      <c r="G139" s="715"/>
    </row>
    <row r="140" spans="1:7" ht="16.5" thickBot="1">
      <c r="A140" s="544"/>
      <c r="B140" s="544"/>
      <c r="C140" s="544"/>
      <c r="D140" s="544"/>
      <c r="E140" s="544"/>
      <c r="F140" s="699" t="s">
        <v>690</v>
      </c>
      <c r="G140" s="716">
        <f>+G119+G130+G137</f>
        <v>1623560</v>
      </c>
    </row>
    <row r="141" spans="1:7" ht="15">
      <c r="A141" s="544" t="s">
        <v>48</v>
      </c>
      <c r="B141" s="544"/>
      <c r="C141" s="544"/>
      <c r="D141" s="544"/>
      <c r="E141" s="544"/>
      <c r="F141" s="544"/>
      <c r="G141" s="544"/>
    </row>
    <row r="142" spans="1:7" ht="15.75">
      <c r="A142" s="544" t="str">
        <f>+A114</f>
        <v> </v>
      </c>
      <c r="B142" s="544"/>
      <c r="C142" s="544"/>
      <c r="D142" s="544"/>
      <c r="E142" s="544"/>
      <c r="F142" s="69" t="s">
        <v>366</v>
      </c>
      <c r="G142" s="544"/>
    </row>
    <row r="143" spans="1:7" ht="15.75">
      <c r="A143" s="783" t="str">
        <f>+A115</f>
        <v>PRESUPUESTO AÑO 2008</v>
      </c>
      <c r="B143" s="784"/>
      <c r="C143" s="784"/>
      <c r="D143" s="784"/>
      <c r="E143" s="784"/>
      <c r="F143" s="784"/>
      <c r="G143" s="784"/>
    </row>
    <row r="144" spans="1:7" ht="16.5" thickBot="1">
      <c r="A144" s="69" t="s">
        <v>100</v>
      </c>
      <c r="B144" s="544"/>
      <c r="C144" s="544"/>
      <c r="D144" s="544"/>
      <c r="E144" s="544"/>
      <c r="F144" s="544"/>
      <c r="G144" s="76">
        <v>431</v>
      </c>
    </row>
    <row r="145" spans="1:7" ht="16.5" thickBot="1">
      <c r="A145" s="785" t="s">
        <v>621</v>
      </c>
      <c r="B145" s="786"/>
      <c r="C145" s="786"/>
      <c r="D145" s="786"/>
      <c r="E145" s="786"/>
      <c r="F145" s="698" t="s">
        <v>657</v>
      </c>
      <c r="G145" s="698" t="s">
        <v>658</v>
      </c>
    </row>
    <row r="146" spans="1:7" ht="16.5" thickBot="1">
      <c r="A146" s="362" t="s">
        <v>659</v>
      </c>
      <c r="B146" s="362" t="s">
        <v>660</v>
      </c>
      <c r="C146" s="362" t="s">
        <v>661</v>
      </c>
      <c r="D146" s="362" t="s">
        <v>625</v>
      </c>
      <c r="E146" s="691" t="s">
        <v>662</v>
      </c>
      <c r="F146" s="699" t="s">
        <v>663</v>
      </c>
      <c r="G146" s="699"/>
    </row>
    <row r="147" spans="1:7" ht="15.75">
      <c r="A147" s="700">
        <v>4</v>
      </c>
      <c r="B147" s="701"/>
      <c r="C147" s="701"/>
      <c r="D147" s="701"/>
      <c r="E147" s="702"/>
      <c r="F147" s="703" t="s">
        <v>539</v>
      </c>
      <c r="G147" s="704">
        <f>+G148+G154+G156</f>
        <v>1131747</v>
      </c>
    </row>
    <row r="148" spans="1:7" ht="15.75">
      <c r="A148" s="705">
        <v>4</v>
      </c>
      <c r="B148" s="706">
        <v>1</v>
      </c>
      <c r="C148" s="706"/>
      <c r="D148" s="706"/>
      <c r="E148" s="707"/>
      <c r="F148" s="708" t="s">
        <v>664</v>
      </c>
      <c r="G148" s="709">
        <f>+G149+G152+G153</f>
        <v>1131747</v>
      </c>
    </row>
    <row r="149" spans="1:7" ht="15.75">
      <c r="A149" s="705">
        <v>4</v>
      </c>
      <c r="B149" s="706">
        <v>1</v>
      </c>
      <c r="C149" s="706">
        <v>1</v>
      </c>
      <c r="D149" s="706"/>
      <c r="E149" s="707"/>
      <c r="F149" s="708" t="s">
        <v>644</v>
      </c>
      <c r="G149" s="709">
        <f>+G150+G151</f>
        <v>954447</v>
      </c>
    </row>
    <row r="150" spans="1:7" ht="15.75">
      <c r="A150" s="705">
        <v>4</v>
      </c>
      <c r="B150" s="706">
        <v>1</v>
      </c>
      <c r="C150" s="706">
        <v>1</v>
      </c>
      <c r="D150" s="706">
        <v>1</v>
      </c>
      <c r="E150" s="707"/>
      <c r="F150" s="708" t="s">
        <v>665</v>
      </c>
      <c r="G150" s="709">
        <f>+ANEXO5!C$252</f>
        <v>779710</v>
      </c>
    </row>
    <row r="151" spans="1:7" ht="15.75">
      <c r="A151" s="705">
        <v>4</v>
      </c>
      <c r="B151" s="706">
        <v>1</v>
      </c>
      <c r="C151" s="706">
        <v>1</v>
      </c>
      <c r="D151" s="706">
        <v>2</v>
      </c>
      <c r="E151" s="707"/>
      <c r="F151" s="708" t="s">
        <v>682</v>
      </c>
      <c r="G151" s="709">
        <f>+ANEXO5!C$271</f>
        <v>174737</v>
      </c>
    </row>
    <row r="152" spans="1:7" ht="15.75">
      <c r="A152" s="705">
        <v>4</v>
      </c>
      <c r="B152" s="706">
        <v>1</v>
      </c>
      <c r="C152" s="706">
        <v>2</v>
      </c>
      <c r="D152" s="706"/>
      <c r="E152" s="707"/>
      <c r="F152" s="708" t="s">
        <v>645</v>
      </c>
      <c r="G152" s="709">
        <f>+ANEXO5!C$300</f>
        <v>7130</v>
      </c>
    </row>
    <row r="153" spans="1:7" ht="15.75">
      <c r="A153" s="705">
        <v>4</v>
      </c>
      <c r="B153" s="706">
        <v>1</v>
      </c>
      <c r="C153" s="706">
        <v>3</v>
      </c>
      <c r="D153" s="706"/>
      <c r="E153" s="707"/>
      <c r="F153" s="708" t="s">
        <v>646</v>
      </c>
      <c r="G153" s="709">
        <f>+ANEXO5!C$327</f>
        <v>170170</v>
      </c>
    </row>
    <row r="154" spans="1:7" ht="15.75">
      <c r="A154" s="705">
        <v>4</v>
      </c>
      <c r="B154" s="706">
        <v>2</v>
      </c>
      <c r="C154" s="706"/>
      <c r="D154" s="706"/>
      <c r="E154" s="707"/>
      <c r="F154" s="708" t="s">
        <v>683</v>
      </c>
      <c r="G154" s="709">
        <f>+G155</f>
        <v>0</v>
      </c>
    </row>
    <row r="155" spans="1:7" ht="15.75">
      <c r="A155" s="705">
        <v>4</v>
      </c>
      <c r="B155" s="706">
        <v>2</v>
      </c>
      <c r="C155" s="706">
        <v>1</v>
      </c>
      <c r="D155" s="706"/>
      <c r="E155" s="707"/>
      <c r="F155" s="708" t="s">
        <v>684</v>
      </c>
      <c r="G155" s="710"/>
    </row>
    <row r="156" spans="1:7" ht="15.75">
      <c r="A156" s="705">
        <v>4</v>
      </c>
      <c r="B156" s="706">
        <v>3</v>
      </c>
      <c r="C156" s="706"/>
      <c r="D156" s="706"/>
      <c r="E156" s="707"/>
      <c r="F156" s="708" t="s">
        <v>685</v>
      </c>
      <c r="G156" s="709">
        <f>+G157</f>
        <v>0</v>
      </c>
    </row>
    <row r="157" spans="1:7" ht="15.75">
      <c r="A157" s="705">
        <v>4</v>
      </c>
      <c r="B157" s="706">
        <v>3</v>
      </c>
      <c r="C157" s="706">
        <v>1</v>
      </c>
      <c r="D157" s="706"/>
      <c r="E157" s="707"/>
      <c r="F157" s="708" t="s">
        <v>648</v>
      </c>
      <c r="G157" s="710"/>
    </row>
    <row r="158" spans="1:7" ht="15.75">
      <c r="A158" s="711">
        <v>5</v>
      </c>
      <c r="B158" s="706"/>
      <c r="C158" s="706"/>
      <c r="D158" s="706"/>
      <c r="E158" s="707"/>
      <c r="F158" s="708" t="s">
        <v>548</v>
      </c>
      <c r="G158" s="709">
        <f>+G159+G162+G163</f>
        <v>760</v>
      </c>
    </row>
    <row r="159" spans="1:7" ht="15.75">
      <c r="A159" s="705">
        <v>5</v>
      </c>
      <c r="B159" s="706">
        <v>1</v>
      </c>
      <c r="C159" s="706"/>
      <c r="D159" s="706"/>
      <c r="E159" s="707"/>
      <c r="F159" s="708" t="s">
        <v>686</v>
      </c>
      <c r="G159" s="709">
        <f>+G160+G161</f>
        <v>760</v>
      </c>
    </row>
    <row r="160" spans="1:7" ht="15.75">
      <c r="A160" s="705">
        <v>5</v>
      </c>
      <c r="B160" s="706">
        <v>1</v>
      </c>
      <c r="C160" s="706">
        <v>1</v>
      </c>
      <c r="D160" s="706"/>
      <c r="E160" s="707"/>
      <c r="F160" s="708" t="s">
        <v>649</v>
      </c>
      <c r="G160" s="710">
        <f>+ANEXO5!C$343</f>
        <v>760</v>
      </c>
    </row>
    <row r="161" spans="1:7" ht="15.75">
      <c r="A161" s="705">
        <v>5</v>
      </c>
      <c r="B161" s="706">
        <v>1</v>
      </c>
      <c r="C161" s="706">
        <v>2</v>
      </c>
      <c r="D161" s="706"/>
      <c r="E161" s="706"/>
      <c r="F161" s="708" t="s">
        <v>650</v>
      </c>
      <c r="G161" s="710"/>
    </row>
    <row r="162" spans="1:7" ht="15.75">
      <c r="A162" s="705">
        <v>5</v>
      </c>
      <c r="B162" s="706">
        <v>2</v>
      </c>
      <c r="C162" s="706"/>
      <c r="D162" s="706"/>
      <c r="E162" s="706"/>
      <c r="F162" s="708" t="s">
        <v>687</v>
      </c>
      <c r="G162" s="709">
        <v>0</v>
      </c>
    </row>
    <row r="163" spans="1:7" ht="15.75">
      <c r="A163" s="705">
        <v>5</v>
      </c>
      <c r="B163" s="706">
        <v>3</v>
      </c>
      <c r="C163" s="706"/>
      <c r="D163" s="706"/>
      <c r="E163" s="706"/>
      <c r="F163" s="708" t="s">
        <v>688</v>
      </c>
      <c r="G163" s="709">
        <f>+G164</f>
        <v>0</v>
      </c>
    </row>
    <row r="164" spans="1:7" ht="15.75">
      <c r="A164" s="705">
        <v>5</v>
      </c>
      <c r="B164" s="706">
        <v>3</v>
      </c>
      <c r="C164" s="706">
        <v>1</v>
      </c>
      <c r="D164" s="706"/>
      <c r="E164" s="706"/>
      <c r="F164" s="708" t="s">
        <v>651</v>
      </c>
      <c r="G164" s="710"/>
    </row>
    <row r="165" spans="1:7" ht="15.75">
      <c r="A165" s="711">
        <v>6</v>
      </c>
      <c r="B165" s="706"/>
      <c r="C165" s="706"/>
      <c r="D165" s="706"/>
      <c r="E165" s="706"/>
      <c r="F165" s="708" t="s">
        <v>553</v>
      </c>
      <c r="G165" s="709">
        <f>+G166</f>
        <v>0</v>
      </c>
    </row>
    <row r="166" spans="1:7" ht="15.75">
      <c r="A166" s="705">
        <v>6</v>
      </c>
      <c r="B166" s="706">
        <v>1</v>
      </c>
      <c r="C166" s="706"/>
      <c r="D166" s="706"/>
      <c r="E166" s="706"/>
      <c r="F166" s="708" t="s">
        <v>689</v>
      </c>
      <c r="G166" s="709">
        <f>+G167</f>
        <v>0</v>
      </c>
    </row>
    <row r="167" spans="1:7" ht="16.5" thickBot="1">
      <c r="A167" s="712">
        <v>6</v>
      </c>
      <c r="B167" s="713">
        <v>1</v>
      </c>
      <c r="C167" s="713">
        <v>1</v>
      </c>
      <c r="D167" s="713"/>
      <c r="E167" s="713"/>
      <c r="F167" s="714" t="s">
        <v>652</v>
      </c>
      <c r="G167" s="715"/>
    </row>
    <row r="168" spans="1:7" ht="16.5" thickBot="1">
      <c r="A168" s="544"/>
      <c r="B168" s="544"/>
      <c r="C168" s="544"/>
      <c r="D168" s="544"/>
      <c r="E168" s="544"/>
      <c r="F168" s="699" t="s">
        <v>690</v>
      </c>
      <c r="G168" s="716">
        <f>+G147+G158+G165</f>
        <v>1132507</v>
      </c>
    </row>
    <row r="169" spans="1:7" ht="15">
      <c r="A169" s="544"/>
      <c r="B169" s="544"/>
      <c r="C169" s="544"/>
      <c r="D169" s="544"/>
      <c r="E169" s="544"/>
      <c r="F169" s="544"/>
      <c r="G169" s="544"/>
    </row>
    <row r="170" spans="1:7" s="85" customFormat="1" ht="15.75">
      <c r="A170" s="719" t="str">
        <f>+A142</f>
        <v> </v>
      </c>
      <c r="B170" s="720"/>
      <c r="C170" s="720"/>
      <c r="D170" s="720"/>
      <c r="E170" s="720"/>
      <c r="F170" s="721" t="s">
        <v>366</v>
      </c>
      <c r="G170" s="720"/>
    </row>
    <row r="171" spans="1:7" s="85" customFormat="1" ht="15.75">
      <c r="A171" s="783" t="str">
        <f>+A143</f>
        <v>PRESUPUESTO AÑO 2008</v>
      </c>
      <c r="B171" s="784"/>
      <c r="C171" s="784"/>
      <c r="D171" s="784"/>
      <c r="E171" s="784"/>
      <c r="F171" s="784"/>
      <c r="G171" s="784"/>
    </row>
    <row r="172" spans="1:7" ht="16.5" thickBot="1">
      <c r="A172" s="69" t="s">
        <v>99</v>
      </c>
      <c r="B172" s="544"/>
      <c r="C172" s="544"/>
      <c r="D172" s="544"/>
      <c r="E172" s="544"/>
      <c r="F172" s="544"/>
      <c r="G172" s="76">
        <v>441</v>
      </c>
    </row>
    <row r="173" spans="1:7" ht="16.5" thickBot="1">
      <c r="A173" s="785" t="s">
        <v>621</v>
      </c>
      <c r="B173" s="786"/>
      <c r="C173" s="786"/>
      <c r="D173" s="786"/>
      <c r="E173" s="786"/>
      <c r="F173" s="698" t="s">
        <v>657</v>
      </c>
      <c r="G173" s="698" t="s">
        <v>658</v>
      </c>
    </row>
    <row r="174" spans="1:7" ht="16.5" thickBot="1">
      <c r="A174" s="362" t="s">
        <v>659</v>
      </c>
      <c r="B174" s="362" t="s">
        <v>660</v>
      </c>
      <c r="C174" s="362" t="s">
        <v>661</v>
      </c>
      <c r="D174" s="362" t="s">
        <v>625</v>
      </c>
      <c r="E174" s="691" t="s">
        <v>662</v>
      </c>
      <c r="F174" s="699" t="s">
        <v>663</v>
      </c>
      <c r="G174" s="699"/>
    </row>
    <row r="175" spans="1:7" ht="15.75">
      <c r="A175" s="700">
        <v>4</v>
      </c>
      <c r="B175" s="701"/>
      <c r="C175" s="701"/>
      <c r="D175" s="701"/>
      <c r="E175" s="702"/>
      <c r="F175" s="703" t="s">
        <v>539</v>
      </c>
      <c r="G175" s="704">
        <f>+G176+G182+G184</f>
        <v>1243560</v>
      </c>
    </row>
    <row r="176" spans="1:7" ht="15.75">
      <c r="A176" s="705">
        <v>4</v>
      </c>
      <c r="B176" s="706">
        <v>1</v>
      </c>
      <c r="C176" s="706"/>
      <c r="D176" s="706"/>
      <c r="E176" s="707"/>
      <c r="F176" s="708" t="s">
        <v>664</v>
      </c>
      <c r="G176" s="709">
        <f>+G177+G180+G181</f>
        <v>1243560</v>
      </c>
    </row>
    <row r="177" spans="1:7" ht="15.75">
      <c r="A177" s="705">
        <v>4</v>
      </c>
      <c r="B177" s="706">
        <v>1</v>
      </c>
      <c r="C177" s="706">
        <v>1</v>
      </c>
      <c r="D177" s="706"/>
      <c r="E177" s="707"/>
      <c r="F177" s="708" t="s">
        <v>644</v>
      </c>
      <c r="G177" s="709">
        <f>+G178+G179</f>
        <v>530030</v>
      </c>
    </row>
    <row r="178" spans="1:7" ht="15.75">
      <c r="A178" s="705">
        <v>4</v>
      </c>
      <c r="B178" s="706">
        <v>1</v>
      </c>
      <c r="C178" s="706">
        <v>1</v>
      </c>
      <c r="D178" s="706">
        <v>1</v>
      </c>
      <c r="E178" s="707"/>
      <c r="F178" s="708" t="s">
        <v>665</v>
      </c>
      <c r="G178" s="709">
        <f>+ANEXO5!C$367</f>
        <v>387750</v>
      </c>
    </row>
    <row r="179" spans="1:7" ht="15.75">
      <c r="A179" s="705">
        <v>4</v>
      </c>
      <c r="B179" s="706">
        <v>1</v>
      </c>
      <c r="C179" s="706">
        <v>1</v>
      </c>
      <c r="D179" s="706">
        <v>2</v>
      </c>
      <c r="E179" s="707"/>
      <c r="F179" s="708" t="s">
        <v>682</v>
      </c>
      <c r="G179" s="709">
        <f>+ANEXO5!C$386</f>
        <v>142280</v>
      </c>
    </row>
    <row r="180" spans="1:7" ht="15.75">
      <c r="A180" s="705">
        <v>4</v>
      </c>
      <c r="B180" s="706">
        <v>1</v>
      </c>
      <c r="C180" s="706">
        <v>2</v>
      </c>
      <c r="D180" s="706"/>
      <c r="E180" s="707"/>
      <c r="F180" s="708" t="s">
        <v>645</v>
      </c>
      <c r="G180" s="709">
        <f>+ANEXO5!C$415</f>
        <v>701030</v>
      </c>
    </row>
    <row r="181" spans="1:7" ht="15.75">
      <c r="A181" s="705">
        <v>4</v>
      </c>
      <c r="B181" s="706">
        <v>1</v>
      </c>
      <c r="C181" s="706">
        <v>3</v>
      </c>
      <c r="D181" s="706"/>
      <c r="E181" s="707"/>
      <c r="F181" s="708" t="s">
        <v>646</v>
      </c>
      <c r="G181" s="709">
        <f>+ANEXO5!C$442</f>
        <v>12500</v>
      </c>
    </row>
    <row r="182" spans="1:7" ht="15.75">
      <c r="A182" s="705">
        <v>4</v>
      </c>
      <c r="B182" s="706">
        <v>2</v>
      </c>
      <c r="C182" s="706"/>
      <c r="D182" s="706"/>
      <c r="E182" s="707"/>
      <c r="F182" s="708" t="s">
        <v>683</v>
      </c>
      <c r="G182" s="709">
        <f>+G183</f>
        <v>0</v>
      </c>
    </row>
    <row r="183" spans="1:7" ht="15.75">
      <c r="A183" s="705">
        <v>4</v>
      </c>
      <c r="B183" s="706">
        <v>2</v>
      </c>
      <c r="C183" s="706">
        <v>1</v>
      </c>
      <c r="D183" s="706"/>
      <c r="E183" s="707"/>
      <c r="F183" s="708" t="s">
        <v>684</v>
      </c>
      <c r="G183" s="710"/>
    </row>
    <row r="184" spans="1:7" ht="15.75">
      <c r="A184" s="705">
        <v>4</v>
      </c>
      <c r="B184" s="706">
        <v>3</v>
      </c>
      <c r="C184" s="706"/>
      <c r="D184" s="706"/>
      <c r="E184" s="707"/>
      <c r="F184" s="708" t="s">
        <v>685</v>
      </c>
      <c r="G184" s="709">
        <f>+G185</f>
        <v>0</v>
      </c>
    </row>
    <row r="185" spans="1:7" ht="15.75">
      <c r="A185" s="705">
        <v>4</v>
      </c>
      <c r="B185" s="706">
        <v>3</v>
      </c>
      <c r="C185" s="706">
        <v>1</v>
      </c>
      <c r="D185" s="706"/>
      <c r="E185" s="707"/>
      <c r="F185" s="708" t="s">
        <v>648</v>
      </c>
      <c r="G185" s="710"/>
    </row>
    <row r="186" spans="1:7" ht="15.75">
      <c r="A186" s="711">
        <v>5</v>
      </c>
      <c r="B186" s="706"/>
      <c r="C186" s="706"/>
      <c r="D186" s="706"/>
      <c r="E186" s="707"/>
      <c r="F186" s="708" t="s">
        <v>548</v>
      </c>
      <c r="G186" s="709">
        <f>+G187+G190+G191</f>
        <v>890</v>
      </c>
    </row>
    <row r="187" spans="1:7" ht="15.75">
      <c r="A187" s="705">
        <v>5</v>
      </c>
      <c r="B187" s="706">
        <v>1</v>
      </c>
      <c r="C187" s="706"/>
      <c r="D187" s="706"/>
      <c r="E187" s="707"/>
      <c r="F187" s="708" t="s">
        <v>686</v>
      </c>
      <c r="G187" s="709">
        <f>+G188+G189</f>
        <v>890</v>
      </c>
    </row>
    <row r="188" spans="1:7" ht="15.75">
      <c r="A188" s="705">
        <v>5</v>
      </c>
      <c r="B188" s="706">
        <v>1</v>
      </c>
      <c r="C188" s="706">
        <v>1</v>
      </c>
      <c r="D188" s="706"/>
      <c r="E188" s="707"/>
      <c r="F188" s="708" t="s">
        <v>649</v>
      </c>
      <c r="G188" s="710">
        <f>+ANEXO5!C$458</f>
        <v>890</v>
      </c>
    </row>
    <row r="189" spans="1:7" ht="15.75">
      <c r="A189" s="705">
        <v>5</v>
      </c>
      <c r="B189" s="706">
        <v>1</v>
      </c>
      <c r="C189" s="706">
        <v>2</v>
      </c>
      <c r="D189" s="706"/>
      <c r="E189" s="706"/>
      <c r="F189" s="708" t="s">
        <v>650</v>
      </c>
      <c r="G189" s="710"/>
    </row>
    <row r="190" spans="1:7" ht="15.75">
      <c r="A190" s="705">
        <v>5</v>
      </c>
      <c r="B190" s="706">
        <v>2</v>
      </c>
      <c r="C190" s="706"/>
      <c r="D190" s="706"/>
      <c r="E190" s="706"/>
      <c r="F190" s="708" t="s">
        <v>687</v>
      </c>
      <c r="G190" s="709">
        <v>0</v>
      </c>
    </row>
    <row r="191" spans="1:7" ht="15.75">
      <c r="A191" s="705">
        <v>5</v>
      </c>
      <c r="B191" s="706">
        <v>3</v>
      </c>
      <c r="C191" s="706"/>
      <c r="D191" s="706"/>
      <c r="E191" s="706"/>
      <c r="F191" s="708" t="s">
        <v>688</v>
      </c>
      <c r="G191" s="709">
        <f>+G192</f>
        <v>0</v>
      </c>
    </row>
    <row r="192" spans="1:7" ht="15.75">
      <c r="A192" s="705">
        <v>5</v>
      </c>
      <c r="B192" s="706">
        <v>3</v>
      </c>
      <c r="C192" s="706">
        <v>1</v>
      </c>
      <c r="D192" s="706"/>
      <c r="E192" s="706"/>
      <c r="F192" s="708" t="s">
        <v>651</v>
      </c>
      <c r="G192" s="710"/>
    </row>
    <row r="193" spans="1:7" ht="15.75">
      <c r="A193" s="711">
        <v>6</v>
      </c>
      <c r="B193" s="706"/>
      <c r="C193" s="706"/>
      <c r="D193" s="706"/>
      <c r="E193" s="706"/>
      <c r="F193" s="708" t="s">
        <v>553</v>
      </c>
      <c r="G193" s="709">
        <f>+G194</f>
        <v>0</v>
      </c>
    </row>
    <row r="194" spans="1:7" ht="15.75">
      <c r="A194" s="705">
        <v>6</v>
      </c>
      <c r="B194" s="706">
        <v>1</v>
      </c>
      <c r="C194" s="706"/>
      <c r="D194" s="706"/>
      <c r="E194" s="706"/>
      <c r="F194" s="708" t="s">
        <v>689</v>
      </c>
      <c r="G194" s="709">
        <f>+G195</f>
        <v>0</v>
      </c>
    </row>
    <row r="195" spans="1:7" ht="16.5" thickBot="1">
      <c r="A195" s="712">
        <v>6</v>
      </c>
      <c r="B195" s="713">
        <v>1</v>
      </c>
      <c r="C195" s="713">
        <v>1</v>
      </c>
      <c r="D195" s="713"/>
      <c r="E195" s="713"/>
      <c r="F195" s="714" t="s">
        <v>652</v>
      </c>
      <c r="G195" s="715"/>
    </row>
    <row r="196" spans="1:7" ht="16.5" thickBot="1">
      <c r="A196" s="544"/>
      <c r="B196" s="544"/>
      <c r="C196" s="544"/>
      <c r="D196" s="544"/>
      <c r="E196" s="544"/>
      <c r="F196" s="699" t="s">
        <v>690</v>
      </c>
      <c r="G196" s="716">
        <f>+G175+G186+G193</f>
        <v>1244450</v>
      </c>
    </row>
    <row r="197" spans="1:7" ht="15">
      <c r="A197" s="544"/>
      <c r="B197" s="544"/>
      <c r="C197" s="544"/>
      <c r="D197" s="544"/>
      <c r="E197" s="544"/>
      <c r="F197" s="544"/>
      <c r="G197" s="544"/>
    </row>
    <row r="198" spans="1:7" ht="15.75">
      <c r="A198" s="719" t="str">
        <f>+A170</f>
        <v> </v>
      </c>
      <c r="B198" s="720"/>
      <c r="C198" s="720"/>
      <c r="D198" s="720"/>
      <c r="E198" s="720"/>
      <c r="F198" s="721" t="s">
        <v>366</v>
      </c>
      <c r="G198" s="720"/>
    </row>
    <row r="199" spans="1:7" ht="15.75">
      <c r="A199" s="783" t="str">
        <f>+A171</f>
        <v>PRESUPUESTO AÑO 2008</v>
      </c>
      <c r="B199" s="784"/>
      <c r="C199" s="784"/>
      <c r="D199" s="784"/>
      <c r="E199" s="784"/>
      <c r="F199" s="784"/>
      <c r="G199" s="784"/>
    </row>
    <row r="200" spans="1:7" ht="16.5" thickBot="1">
      <c r="A200" s="69" t="s">
        <v>723</v>
      </c>
      <c r="B200" s="544"/>
      <c r="C200" s="544"/>
      <c r="D200" s="544"/>
      <c r="E200" s="544"/>
      <c r="F200" s="544"/>
      <c r="G200" s="76">
        <v>442</v>
      </c>
    </row>
    <row r="201" spans="1:7" ht="16.5" thickBot="1">
      <c r="A201" s="785" t="s">
        <v>621</v>
      </c>
      <c r="B201" s="786"/>
      <c r="C201" s="786"/>
      <c r="D201" s="786"/>
      <c r="E201" s="786"/>
      <c r="F201" s="698" t="s">
        <v>657</v>
      </c>
      <c r="G201" s="698" t="s">
        <v>658</v>
      </c>
    </row>
    <row r="202" spans="1:7" ht="16.5" thickBot="1">
      <c r="A202" s="362" t="s">
        <v>659</v>
      </c>
      <c r="B202" s="362" t="s">
        <v>660</v>
      </c>
      <c r="C202" s="362" t="s">
        <v>661</v>
      </c>
      <c r="D202" s="362" t="s">
        <v>625</v>
      </c>
      <c r="E202" s="691" t="s">
        <v>662</v>
      </c>
      <c r="F202" s="699" t="s">
        <v>663</v>
      </c>
      <c r="G202" s="699"/>
    </row>
    <row r="203" spans="1:7" ht="15.75">
      <c r="A203" s="700">
        <v>4</v>
      </c>
      <c r="B203" s="701"/>
      <c r="C203" s="701"/>
      <c r="D203" s="701"/>
      <c r="E203" s="702"/>
      <c r="F203" s="703" t="s">
        <v>539</v>
      </c>
      <c r="G203" s="704">
        <f>+G204+G210+G212</f>
        <v>1320520</v>
      </c>
    </row>
    <row r="204" spans="1:7" ht="15.75">
      <c r="A204" s="705">
        <v>4</v>
      </c>
      <c r="B204" s="706">
        <v>1</v>
      </c>
      <c r="C204" s="706"/>
      <c r="D204" s="706"/>
      <c r="E204" s="707"/>
      <c r="F204" s="708" t="s">
        <v>664</v>
      </c>
      <c r="G204" s="709">
        <f>+G205+G208+G209</f>
        <v>1320520</v>
      </c>
    </row>
    <row r="205" spans="1:7" ht="15.75">
      <c r="A205" s="705">
        <v>4</v>
      </c>
      <c r="B205" s="706">
        <v>1</v>
      </c>
      <c r="C205" s="706">
        <v>1</v>
      </c>
      <c r="D205" s="706"/>
      <c r="E205" s="707"/>
      <c r="F205" s="708" t="s">
        <v>644</v>
      </c>
      <c r="G205" s="709">
        <f>+G206+G207</f>
        <v>1216140</v>
      </c>
    </row>
    <row r="206" spans="1:7" ht="15.75">
      <c r="A206" s="705">
        <v>4</v>
      </c>
      <c r="B206" s="706">
        <v>1</v>
      </c>
      <c r="C206" s="706">
        <v>1</v>
      </c>
      <c r="D206" s="706">
        <v>1</v>
      </c>
      <c r="E206" s="707"/>
      <c r="F206" s="708" t="s">
        <v>665</v>
      </c>
      <c r="G206" s="709">
        <f>+ANEXO5!D$367</f>
        <v>1135720</v>
      </c>
    </row>
    <row r="207" spans="1:7" ht="15.75">
      <c r="A207" s="705">
        <v>4</v>
      </c>
      <c r="B207" s="706">
        <v>1</v>
      </c>
      <c r="C207" s="706">
        <v>1</v>
      </c>
      <c r="D207" s="706">
        <v>2</v>
      </c>
      <c r="E207" s="707"/>
      <c r="F207" s="708" t="s">
        <v>682</v>
      </c>
      <c r="G207" s="709">
        <f>+ANEXO5!D$386</f>
        <v>80420</v>
      </c>
    </row>
    <row r="208" spans="1:7" ht="15.75">
      <c r="A208" s="705">
        <v>4</v>
      </c>
      <c r="B208" s="706">
        <v>1</v>
      </c>
      <c r="C208" s="706">
        <v>2</v>
      </c>
      <c r="D208" s="706"/>
      <c r="E208" s="707"/>
      <c r="F208" s="708" t="s">
        <v>645</v>
      </c>
      <c r="G208" s="709">
        <f>+ANEXO5!D$415</f>
        <v>59380</v>
      </c>
    </row>
    <row r="209" spans="1:7" ht="15.75">
      <c r="A209" s="705">
        <v>4</v>
      </c>
      <c r="B209" s="706">
        <v>1</v>
      </c>
      <c r="C209" s="706">
        <v>3</v>
      </c>
      <c r="D209" s="706"/>
      <c r="E209" s="707"/>
      <c r="F209" s="708" t="s">
        <v>646</v>
      </c>
      <c r="G209" s="709">
        <f>+ANEXO5!D$442</f>
        <v>45000</v>
      </c>
    </row>
    <row r="210" spans="1:7" ht="15.75">
      <c r="A210" s="705">
        <v>4</v>
      </c>
      <c r="B210" s="706">
        <v>2</v>
      </c>
      <c r="C210" s="706"/>
      <c r="D210" s="706"/>
      <c r="E210" s="707"/>
      <c r="F210" s="708" t="s">
        <v>683</v>
      </c>
      <c r="G210" s="709">
        <f>+G211</f>
        <v>0</v>
      </c>
    </row>
    <row r="211" spans="1:7" ht="15.75">
      <c r="A211" s="705">
        <v>4</v>
      </c>
      <c r="B211" s="706">
        <v>2</v>
      </c>
      <c r="C211" s="706">
        <v>1</v>
      </c>
      <c r="D211" s="706"/>
      <c r="E211" s="707"/>
      <c r="F211" s="708" t="s">
        <v>684</v>
      </c>
      <c r="G211" s="710"/>
    </row>
    <row r="212" spans="1:7" ht="15.75">
      <c r="A212" s="705">
        <v>4</v>
      </c>
      <c r="B212" s="706">
        <v>3</v>
      </c>
      <c r="C212" s="706"/>
      <c r="D212" s="706"/>
      <c r="E212" s="707"/>
      <c r="F212" s="708" t="s">
        <v>685</v>
      </c>
      <c r="G212" s="709">
        <f>+G213</f>
        <v>0</v>
      </c>
    </row>
    <row r="213" spans="1:7" ht="15.75">
      <c r="A213" s="705">
        <v>4</v>
      </c>
      <c r="B213" s="706">
        <v>3</v>
      </c>
      <c r="C213" s="706">
        <v>1</v>
      </c>
      <c r="D213" s="706"/>
      <c r="E213" s="707"/>
      <c r="F213" s="708" t="s">
        <v>648</v>
      </c>
      <c r="G213" s="710"/>
    </row>
    <row r="214" spans="1:7" ht="15.75">
      <c r="A214" s="711">
        <v>5</v>
      </c>
      <c r="B214" s="706"/>
      <c r="C214" s="706"/>
      <c r="D214" s="706"/>
      <c r="E214" s="707"/>
      <c r="F214" s="708" t="s">
        <v>548</v>
      </c>
      <c r="G214" s="709">
        <f>+G215+G218+G219</f>
        <v>62130</v>
      </c>
    </row>
    <row r="215" spans="1:7" ht="15.75">
      <c r="A215" s="705">
        <v>5</v>
      </c>
      <c r="B215" s="706">
        <v>1</v>
      </c>
      <c r="C215" s="706"/>
      <c r="D215" s="706"/>
      <c r="E215" s="707"/>
      <c r="F215" s="708" t="s">
        <v>686</v>
      </c>
      <c r="G215" s="709">
        <f>+G216+G217</f>
        <v>62130</v>
      </c>
    </row>
    <row r="216" spans="1:7" ht="15.75">
      <c r="A216" s="705">
        <v>5</v>
      </c>
      <c r="B216" s="706">
        <v>1</v>
      </c>
      <c r="C216" s="706">
        <v>1</v>
      </c>
      <c r="D216" s="706"/>
      <c r="E216" s="707"/>
      <c r="F216" s="708" t="s">
        <v>649</v>
      </c>
      <c r="G216" s="710">
        <f>+ANEXO5!D$458</f>
        <v>62130</v>
      </c>
    </row>
    <row r="217" spans="1:7" ht="15.75">
      <c r="A217" s="705">
        <v>5</v>
      </c>
      <c r="B217" s="706">
        <v>1</v>
      </c>
      <c r="C217" s="706">
        <v>2</v>
      </c>
      <c r="D217" s="706"/>
      <c r="E217" s="706"/>
      <c r="F217" s="708" t="s">
        <v>650</v>
      </c>
      <c r="G217" s="710"/>
    </row>
    <row r="218" spans="1:7" ht="15.75">
      <c r="A218" s="705">
        <v>5</v>
      </c>
      <c r="B218" s="706">
        <v>2</v>
      </c>
      <c r="C218" s="706"/>
      <c r="D218" s="706"/>
      <c r="E218" s="706"/>
      <c r="F218" s="708" t="s">
        <v>687</v>
      </c>
      <c r="G218" s="709">
        <v>0</v>
      </c>
    </row>
    <row r="219" spans="1:7" ht="15.75">
      <c r="A219" s="705">
        <v>5</v>
      </c>
      <c r="B219" s="706">
        <v>3</v>
      </c>
      <c r="C219" s="706"/>
      <c r="D219" s="706"/>
      <c r="E219" s="706"/>
      <c r="F219" s="708" t="s">
        <v>688</v>
      </c>
      <c r="G219" s="709">
        <f>+G220</f>
        <v>0</v>
      </c>
    </row>
    <row r="220" spans="1:7" ht="15.75">
      <c r="A220" s="705">
        <v>5</v>
      </c>
      <c r="B220" s="706">
        <v>3</v>
      </c>
      <c r="C220" s="706">
        <v>1</v>
      </c>
      <c r="D220" s="706"/>
      <c r="E220" s="706"/>
      <c r="F220" s="708" t="s">
        <v>651</v>
      </c>
      <c r="G220" s="710"/>
    </row>
    <row r="221" spans="1:7" ht="15.75">
      <c r="A221" s="711">
        <v>6</v>
      </c>
      <c r="B221" s="706"/>
      <c r="C221" s="706"/>
      <c r="D221" s="706"/>
      <c r="E221" s="706"/>
      <c r="F221" s="708" t="s">
        <v>553</v>
      </c>
      <c r="G221" s="709">
        <f>+G222</f>
        <v>0</v>
      </c>
    </row>
    <row r="222" spans="1:7" ht="15.75">
      <c r="A222" s="705">
        <v>6</v>
      </c>
      <c r="B222" s="706">
        <v>1</v>
      </c>
      <c r="C222" s="706"/>
      <c r="D222" s="706"/>
      <c r="E222" s="706"/>
      <c r="F222" s="708" t="s">
        <v>689</v>
      </c>
      <c r="G222" s="709">
        <f>+G223</f>
        <v>0</v>
      </c>
    </row>
    <row r="223" spans="1:7" ht="16.5" thickBot="1">
      <c r="A223" s="712">
        <v>6</v>
      </c>
      <c r="B223" s="713">
        <v>1</v>
      </c>
      <c r="C223" s="713">
        <v>1</v>
      </c>
      <c r="D223" s="713"/>
      <c r="E223" s="713"/>
      <c r="F223" s="714" t="s">
        <v>652</v>
      </c>
      <c r="G223" s="715"/>
    </row>
    <row r="224" spans="1:7" ht="16.5" thickBot="1">
      <c r="A224" s="544"/>
      <c r="B224" s="544"/>
      <c r="C224" s="544"/>
      <c r="D224" s="544"/>
      <c r="E224" s="544"/>
      <c r="F224" s="699" t="s">
        <v>690</v>
      </c>
      <c r="G224" s="716">
        <f>+G203+G214+G221</f>
        <v>1382650</v>
      </c>
    </row>
    <row r="225" spans="1:7" ht="15">
      <c r="A225" s="544" t="s">
        <v>51</v>
      </c>
      <c r="B225" s="544"/>
      <c r="C225" s="544"/>
      <c r="D225" s="544"/>
      <c r="E225" s="544"/>
      <c r="F225" s="544"/>
      <c r="G225" s="544"/>
    </row>
    <row r="226" spans="1:7" ht="15.75">
      <c r="A226" s="544"/>
      <c r="B226" s="544"/>
      <c r="C226" s="544"/>
      <c r="D226" s="544"/>
      <c r="E226" s="544"/>
      <c r="F226" s="69" t="s">
        <v>366</v>
      </c>
      <c r="G226" s="544"/>
    </row>
    <row r="227" spans="1:7" ht="15.75">
      <c r="A227" s="737"/>
      <c r="B227" s="738"/>
      <c r="C227" s="738"/>
      <c r="D227" s="738"/>
      <c r="E227" s="738"/>
      <c r="F227" s="721" t="s">
        <v>382</v>
      </c>
      <c r="G227" s="720"/>
    </row>
    <row r="228" spans="1:7" ht="15.75">
      <c r="A228" s="783" t="str">
        <f>+A200</f>
        <v>SERVICIOS PUBLICOS - MANTENIMIENTO Y PRODUCCION</v>
      </c>
      <c r="B228" s="784"/>
      <c r="C228" s="784"/>
      <c r="D228" s="784"/>
      <c r="E228" s="784"/>
      <c r="F228" s="784"/>
      <c r="G228" s="784"/>
    </row>
    <row r="229" spans="1:7" ht="16.5" thickBot="1">
      <c r="A229" s="69" t="s">
        <v>160</v>
      </c>
      <c r="B229" s="544"/>
      <c r="C229" s="544"/>
      <c r="D229" s="544"/>
      <c r="E229" s="544"/>
      <c r="F229" s="544"/>
      <c r="G229" s="76" t="s">
        <v>159</v>
      </c>
    </row>
    <row r="230" spans="1:7" ht="16.5" thickBot="1">
      <c r="A230" s="785" t="s">
        <v>621</v>
      </c>
      <c r="B230" s="786"/>
      <c r="C230" s="786"/>
      <c r="D230" s="786"/>
      <c r="E230" s="786"/>
      <c r="F230" s="698" t="s">
        <v>657</v>
      </c>
      <c r="G230" s="698" t="s">
        <v>658</v>
      </c>
    </row>
    <row r="231" spans="1:7" ht="16.5" thickBot="1">
      <c r="A231" s="362" t="s">
        <v>659</v>
      </c>
      <c r="B231" s="362" t="s">
        <v>660</v>
      </c>
      <c r="C231" s="362" t="s">
        <v>661</v>
      </c>
      <c r="D231" s="362" t="s">
        <v>625</v>
      </c>
      <c r="E231" s="691" t="s">
        <v>662</v>
      </c>
      <c r="F231" s="699" t="s">
        <v>663</v>
      </c>
      <c r="G231" s="699"/>
    </row>
    <row r="232" spans="1:7" ht="15.75">
      <c r="A232" s="700">
        <v>4</v>
      </c>
      <c r="B232" s="701"/>
      <c r="C232" s="701"/>
      <c r="D232" s="701"/>
      <c r="E232" s="702"/>
      <c r="F232" s="703" t="s">
        <v>539</v>
      </c>
      <c r="G232" s="704">
        <f>+G233+G239+G241</f>
        <v>1143170</v>
      </c>
    </row>
    <row r="233" spans="1:7" ht="15.75">
      <c r="A233" s="705">
        <v>4</v>
      </c>
      <c r="B233" s="706">
        <v>1</v>
      </c>
      <c r="C233" s="706"/>
      <c r="D233" s="706"/>
      <c r="E233" s="707"/>
      <c r="F233" s="708" t="s">
        <v>664</v>
      </c>
      <c r="G233" s="709">
        <f>+G234+G237+G238</f>
        <v>1143170</v>
      </c>
    </row>
    <row r="234" spans="1:7" ht="15.75">
      <c r="A234" s="705">
        <v>4</v>
      </c>
      <c r="B234" s="706">
        <v>1</v>
      </c>
      <c r="C234" s="706">
        <v>1</v>
      </c>
      <c r="D234" s="706"/>
      <c r="E234" s="707"/>
      <c r="F234" s="708" t="s">
        <v>644</v>
      </c>
      <c r="G234" s="709">
        <f>+G235+G236</f>
        <v>1014820</v>
      </c>
    </row>
    <row r="235" spans="1:7" ht="15.75">
      <c r="A235" s="705">
        <v>4</v>
      </c>
      <c r="B235" s="706">
        <v>1</v>
      </c>
      <c r="C235" s="706">
        <v>1</v>
      </c>
      <c r="D235" s="706">
        <v>1</v>
      </c>
      <c r="E235" s="707"/>
      <c r="F235" s="708" t="s">
        <v>665</v>
      </c>
      <c r="G235" s="709">
        <f>+ANEXO5!E367</f>
        <v>558140</v>
      </c>
    </row>
    <row r="236" spans="1:7" ht="15.75">
      <c r="A236" s="705">
        <v>4</v>
      </c>
      <c r="B236" s="706">
        <v>1</v>
      </c>
      <c r="C236" s="706">
        <v>1</v>
      </c>
      <c r="D236" s="706">
        <v>2</v>
      </c>
      <c r="E236" s="707"/>
      <c r="F236" s="708" t="s">
        <v>682</v>
      </c>
      <c r="G236" s="709">
        <f>+ANEXO5!E386</f>
        <v>456680</v>
      </c>
    </row>
    <row r="237" spans="1:7" ht="15.75">
      <c r="A237" s="705">
        <v>4</v>
      </c>
      <c r="B237" s="706">
        <v>1</v>
      </c>
      <c r="C237" s="706">
        <v>2</v>
      </c>
      <c r="D237" s="706"/>
      <c r="E237" s="707"/>
      <c r="F237" s="708" t="s">
        <v>645</v>
      </c>
      <c r="G237" s="709">
        <f>+ANEXO5!E415</f>
        <v>102430</v>
      </c>
    </row>
    <row r="238" spans="1:7" ht="15.75">
      <c r="A238" s="705">
        <v>4</v>
      </c>
      <c r="B238" s="706">
        <v>1</v>
      </c>
      <c r="C238" s="706">
        <v>3</v>
      </c>
      <c r="D238" s="706"/>
      <c r="E238" s="707"/>
      <c r="F238" s="708" t="s">
        <v>646</v>
      </c>
      <c r="G238" s="709">
        <f>+ANEXO5!E442</f>
        <v>25920</v>
      </c>
    </row>
    <row r="239" spans="1:7" ht="15.75">
      <c r="A239" s="705">
        <v>4</v>
      </c>
      <c r="B239" s="706">
        <v>2</v>
      </c>
      <c r="C239" s="706"/>
      <c r="D239" s="706"/>
      <c r="E239" s="707"/>
      <c r="F239" s="708" t="s">
        <v>683</v>
      </c>
      <c r="G239" s="709">
        <f>+G240</f>
        <v>0</v>
      </c>
    </row>
    <row r="240" spans="1:7" ht="15.75">
      <c r="A240" s="705">
        <v>4</v>
      </c>
      <c r="B240" s="706">
        <v>2</v>
      </c>
      <c r="C240" s="706">
        <v>1</v>
      </c>
      <c r="D240" s="706"/>
      <c r="E240" s="707"/>
      <c r="F240" s="708" t="s">
        <v>684</v>
      </c>
      <c r="G240" s="710"/>
    </row>
    <row r="241" spans="1:7" ht="15.75">
      <c r="A241" s="705">
        <v>4</v>
      </c>
      <c r="B241" s="706">
        <v>3</v>
      </c>
      <c r="C241" s="706"/>
      <c r="D241" s="706"/>
      <c r="E241" s="707"/>
      <c r="F241" s="708" t="s">
        <v>685</v>
      </c>
      <c r="G241" s="709">
        <f>+G242</f>
        <v>0</v>
      </c>
    </row>
    <row r="242" spans="1:7" ht="15.75">
      <c r="A242" s="705">
        <v>4</v>
      </c>
      <c r="B242" s="706">
        <v>3</v>
      </c>
      <c r="C242" s="706">
        <v>1</v>
      </c>
      <c r="D242" s="706"/>
      <c r="E242" s="707"/>
      <c r="F242" s="708" t="s">
        <v>648</v>
      </c>
      <c r="G242" s="710"/>
    </row>
    <row r="243" spans="1:7" ht="15.75">
      <c r="A243" s="711">
        <v>5</v>
      </c>
      <c r="B243" s="706"/>
      <c r="C243" s="706"/>
      <c r="D243" s="706"/>
      <c r="E243" s="707"/>
      <c r="F243" s="708" t="s">
        <v>548</v>
      </c>
      <c r="G243" s="709">
        <f>+G244+G247+G248</f>
        <v>3390</v>
      </c>
    </row>
    <row r="244" spans="1:7" ht="15.75">
      <c r="A244" s="705">
        <v>5</v>
      </c>
      <c r="B244" s="706">
        <v>1</v>
      </c>
      <c r="C244" s="706"/>
      <c r="D244" s="706"/>
      <c r="E244" s="707"/>
      <c r="F244" s="708" t="s">
        <v>686</v>
      </c>
      <c r="G244" s="709">
        <f>+G245+G246</f>
        <v>3390</v>
      </c>
    </row>
    <row r="245" spans="1:7" ht="15.75">
      <c r="A245" s="705">
        <v>5</v>
      </c>
      <c r="B245" s="706">
        <v>1</v>
      </c>
      <c r="C245" s="706">
        <v>1</v>
      </c>
      <c r="D245" s="706"/>
      <c r="E245" s="707"/>
      <c r="F245" s="708" t="s">
        <v>649</v>
      </c>
      <c r="G245" s="710">
        <f>+ANEXO5!E458</f>
        <v>3390</v>
      </c>
    </row>
    <row r="246" spans="1:7" ht="15.75">
      <c r="A246" s="705">
        <v>5</v>
      </c>
      <c r="B246" s="706">
        <v>1</v>
      </c>
      <c r="C246" s="706">
        <v>2</v>
      </c>
      <c r="D246" s="706"/>
      <c r="E246" s="706"/>
      <c r="F246" s="708" t="s">
        <v>650</v>
      </c>
      <c r="G246" s="710"/>
    </row>
    <row r="247" spans="1:7" ht="15.75">
      <c r="A247" s="705">
        <v>5</v>
      </c>
      <c r="B247" s="706">
        <v>2</v>
      </c>
      <c r="C247" s="706"/>
      <c r="D247" s="706"/>
      <c r="E247" s="706"/>
      <c r="F247" s="708" t="s">
        <v>687</v>
      </c>
      <c r="G247" s="709">
        <v>0</v>
      </c>
    </row>
    <row r="248" spans="1:7" ht="15.75">
      <c r="A248" s="705">
        <v>5</v>
      </c>
      <c r="B248" s="706">
        <v>3</v>
      </c>
      <c r="C248" s="706"/>
      <c r="D248" s="706"/>
      <c r="E248" s="706"/>
      <c r="F248" s="708" t="s">
        <v>688</v>
      </c>
      <c r="G248" s="709">
        <f>+G249</f>
        <v>0</v>
      </c>
    </row>
    <row r="249" spans="1:7" ht="15.75">
      <c r="A249" s="705">
        <v>5</v>
      </c>
      <c r="B249" s="706">
        <v>3</v>
      </c>
      <c r="C249" s="706">
        <v>1</v>
      </c>
      <c r="D249" s="706"/>
      <c r="E249" s="706"/>
      <c r="F249" s="708" t="s">
        <v>651</v>
      </c>
      <c r="G249" s="710"/>
    </row>
    <row r="250" spans="1:7" ht="15.75">
      <c r="A250" s="711">
        <v>6</v>
      </c>
      <c r="B250" s="706"/>
      <c r="C250" s="706"/>
      <c r="D250" s="706"/>
      <c r="E250" s="706"/>
      <c r="F250" s="708" t="s">
        <v>553</v>
      </c>
      <c r="G250" s="709">
        <f>+G251</f>
        <v>0</v>
      </c>
    </row>
    <row r="251" spans="1:7" ht="15.75">
      <c r="A251" s="705">
        <v>6</v>
      </c>
      <c r="B251" s="706">
        <v>1</v>
      </c>
      <c r="C251" s="706"/>
      <c r="D251" s="706"/>
      <c r="E251" s="706"/>
      <c r="F251" s="708" t="s">
        <v>689</v>
      </c>
      <c r="G251" s="709">
        <f>+G252</f>
        <v>0</v>
      </c>
    </row>
    <row r="252" spans="1:7" ht="16.5" thickBot="1">
      <c r="A252" s="712">
        <v>6</v>
      </c>
      <c r="B252" s="713">
        <v>1</v>
      </c>
      <c r="C252" s="713">
        <v>1</v>
      </c>
      <c r="D252" s="713"/>
      <c r="E252" s="713"/>
      <c r="F252" s="714" t="s">
        <v>652</v>
      </c>
      <c r="G252" s="715"/>
    </row>
    <row r="253" spans="1:7" ht="16.5" thickBot="1">
      <c r="A253" s="544"/>
      <c r="B253" s="544"/>
      <c r="C253" s="544"/>
      <c r="D253" s="544"/>
      <c r="E253" s="544"/>
      <c r="F253" s="699" t="s">
        <v>690</v>
      </c>
      <c r="G253" s="716">
        <f>+G232+G243+G250</f>
        <v>1146560</v>
      </c>
    </row>
    <row r="254" spans="1:7" ht="15">
      <c r="A254" s="544"/>
      <c r="B254" s="544"/>
      <c r="C254" s="544"/>
      <c r="D254" s="544"/>
      <c r="E254" s="544"/>
      <c r="F254" s="544"/>
      <c r="G254" s="544"/>
    </row>
    <row r="255" spans="1:7" ht="15.75">
      <c r="A255" s="719" t="str">
        <f>+A198</f>
        <v> </v>
      </c>
      <c r="B255" s="720"/>
      <c r="C255" s="720"/>
      <c r="D255" s="720"/>
      <c r="E255" s="720"/>
      <c r="F255" s="721" t="s">
        <v>366</v>
      </c>
      <c r="G255" s="736"/>
    </row>
    <row r="256" spans="1:7" ht="15.75">
      <c r="A256" s="783" t="str">
        <f>+A199</f>
        <v>PRESUPUESTO AÑO 2008</v>
      </c>
      <c r="B256" s="784"/>
      <c r="C256" s="784"/>
      <c r="D256" s="784"/>
      <c r="E256" s="784"/>
      <c r="F256" s="784"/>
      <c r="G256" s="784"/>
    </row>
    <row r="257" spans="1:7" ht="16.5" thickBot="1">
      <c r="A257" s="69" t="s">
        <v>724</v>
      </c>
      <c r="B257" s="544"/>
      <c r="C257" s="544"/>
      <c r="D257" s="544"/>
      <c r="E257" s="544"/>
      <c r="F257" s="544"/>
      <c r="G257" s="76">
        <v>445</v>
      </c>
    </row>
    <row r="258" spans="1:7" ht="16.5" thickBot="1">
      <c r="A258" s="785" t="s">
        <v>621</v>
      </c>
      <c r="B258" s="786"/>
      <c r="C258" s="786"/>
      <c r="D258" s="786"/>
      <c r="E258" s="786"/>
      <c r="F258" s="698" t="s">
        <v>657</v>
      </c>
      <c r="G258" s="698" t="s">
        <v>658</v>
      </c>
    </row>
    <row r="259" spans="1:7" ht="16.5" thickBot="1">
      <c r="A259" s="362" t="s">
        <v>659</v>
      </c>
      <c r="B259" s="362" t="s">
        <v>660</v>
      </c>
      <c r="C259" s="362" t="s">
        <v>661</v>
      </c>
      <c r="D259" s="362" t="s">
        <v>625</v>
      </c>
      <c r="E259" s="691" t="s">
        <v>662</v>
      </c>
      <c r="F259" s="699" t="s">
        <v>663</v>
      </c>
      <c r="G259" s="699"/>
    </row>
    <row r="260" spans="1:7" ht="15.75">
      <c r="A260" s="700">
        <v>4</v>
      </c>
      <c r="B260" s="701"/>
      <c r="C260" s="701"/>
      <c r="D260" s="701"/>
      <c r="E260" s="702"/>
      <c r="F260" s="703" t="s">
        <v>539</v>
      </c>
      <c r="G260" s="704">
        <f>+G261+G267+G269</f>
        <v>4913800</v>
      </c>
    </row>
    <row r="261" spans="1:7" ht="15.75">
      <c r="A261" s="705">
        <v>4</v>
      </c>
      <c r="B261" s="706">
        <v>1</v>
      </c>
      <c r="C261" s="706"/>
      <c r="D261" s="706"/>
      <c r="E261" s="707"/>
      <c r="F261" s="708" t="s">
        <v>664</v>
      </c>
      <c r="G261" s="709">
        <f>+G262+G265+G266</f>
        <v>4913800</v>
      </c>
    </row>
    <row r="262" spans="1:7" ht="15.75">
      <c r="A262" s="705">
        <v>4</v>
      </c>
      <c r="B262" s="706">
        <v>1</v>
      </c>
      <c r="C262" s="706">
        <v>1</v>
      </c>
      <c r="D262" s="706"/>
      <c r="E262" s="707"/>
      <c r="F262" s="708" t="s">
        <v>644</v>
      </c>
      <c r="G262" s="709">
        <f>+G263+G264</f>
        <v>3510480</v>
      </c>
    </row>
    <row r="263" spans="1:7" ht="15.75">
      <c r="A263" s="705">
        <v>4</v>
      </c>
      <c r="B263" s="706">
        <v>1</v>
      </c>
      <c r="C263" s="706">
        <v>1</v>
      </c>
      <c r="D263" s="706">
        <v>1</v>
      </c>
      <c r="E263" s="707"/>
      <c r="F263" s="708" t="s">
        <v>665</v>
      </c>
      <c r="G263" s="709">
        <f>+ANEXO5!F$367</f>
        <v>2513780</v>
      </c>
    </row>
    <row r="264" spans="1:7" ht="15.75">
      <c r="A264" s="705">
        <v>4</v>
      </c>
      <c r="B264" s="706">
        <v>1</v>
      </c>
      <c r="C264" s="706">
        <v>1</v>
      </c>
      <c r="D264" s="706">
        <v>2</v>
      </c>
      <c r="E264" s="707"/>
      <c r="F264" s="708" t="s">
        <v>682</v>
      </c>
      <c r="G264" s="709">
        <f>+ANEXO5!F$386</f>
        <v>996700</v>
      </c>
    </row>
    <row r="265" spans="1:7" ht="15.75">
      <c r="A265" s="705">
        <v>4</v>
      </c>
      <c r="B265" s="706">
        <v>1</v>
      </c>
      <c r="C265" s="706">
        <v>2</v>
      </c>
      <c r="D265" s="706"/>
      <c r="E265" s="707"/>
      <c r="F265" s="708" t="s">
        <v>645</v>
      </c>
      <c r="G265" s="709">
        <f>+ANEXO5!F$415</f>
        <v>23180</v>
      </c>
    </row>
    <row r="266" spans="1:7" ht="15.75">
      <c r="A266" s="705">
        <v>4</v>
      </c>
      <c r="B266" s="706">
        <v>1</v>
      </c>
      <c r="C266" s="706">
        <v>3</v>
      </c>
      <c r="D266" s="706"/>
      <c r="E266" s="707"/>
      <c r="F266" s="708" t="s">
        <v>646</v>
      </c>
      <c r="G266" s="709">
        <f>+ANEXO5!F$442</f>
        <v>1380140</v>
      </c>
    </row>
    <row r="267" spans="1:7" ht="15.75">
      <c r="A267" s="705">
        <v>4</v>
      </c>
      <c r="B267" s="706">
        <v>2</v>
      </c>
      <c r="C267" s="706"/>
      <c r="D267" s="706"/>
      <c r="E267" s="707"/>
      <c r="F267" s="708" t="s">
        <v>683</v>
      </c>
      <c r="G267" s="709">
        <f>+G268</f>
        <v>0</v>
      </c>
    </row>
    <row r="268" spans="1:7" ht="15.75">
      <c r="A268" s="705">
        <v>4</v>
      </c>
      <c r="B268" s="706">
        <v>2</v>
      </c>
      <c r="C268" s="706">
        <v>1</v>
      </c>
      <c r="D268" s="706"/>
      <c r="E268" s="707"/>
      <c r="F268" s="708" t="s">
        <v>684</v>
      </c>
      <c r="G268" s="710"/>
    </row>
    <row r="269" spans="1:7" ht="15.75">
      <c r="A269" s="705">
        <v>4</v>
      </c>
      <c r="B269" s="706">
        <v>3</v>
      </c>
      <c r="C269" s="706"/>
      <c r="D269" s="706"/>
      <c r="E269" s="707"/>
      <c r="F269" s="708" t="s">
        <v>685</v>
      </c>
      <c r="G269" s="709">
        <f>+G270</f>
        <v>0</v>
      </c>
    </row>
    <row r="270" spans="1:7" ht="15.75">
      <c r="A270" s="705">
        <v>4</v>
      </c>
      <c r="B270" s="706">
        <v>3</v>
      </c>
      <c r="C270" s="706">
        <v>1</v>
      </c>
      <c r="D270" s="706"/>
      <c r="E270" s="707"/>
      <c r="F270" s="708" t="s">
        <v>648</v>
      </c>
      <c r="G270" s="710"/>
    </row>
    <row r="271" spans="1:7" ht="15.75">
      <c r="A271" s="711">
        <v>5</v>
      </c>
      <c r="B271" s="706"/>
      <c r="C271" s="706"/>
      <c r="D271" s="706"/>
      <c r="E271" s="707"/>
      <c r="F271" s="708" t="s">
        <v>548</v>
      </c>
      <c r="G271" s="709">
        <f>+G272+G275+G276</f>
        <v>51290</v>
      </c>
    </row>
    <row r="272" spans="1:7" ht="15.75">
      <c r="A272" s="705">
        <v>5</v>
      </c>
      <c r="B272" s="706">
        <v>1</v>
      </c>
      <c r="C272" s="706"/>
      <c r="D272" s="706"/>
      <c r="E272" s="707"/>
      <c r="F272" s="708" t="s">
        <v>686</v>
      </c>
      <c r="G272" s="709">
        <f>+G273+G274</f>
        <v>51290</v>
      </c>
    </row>
    <row r="273" spans="1:7" ht="15.75">
      <c r="A273" s="705">
        <v>5</v>
      </c>
      <c r="B273" s="706">
        <v>1</v>
      </c>
      <c r="C273" s="706">
        <v>1</v>
      </c>
      <c r="D273" s="706"/>
      <c r="E273" s="707"/>
      <c r="F273" s="708" t="s">
        <v>649</v>
      </c>
      <c r="G273" s="710">
        <f>+ANEXO5!F$458</f>
        <v>51290</v>
      </c>
    </row>
    <row r="274" spans="1:7" ht="15.75">
      <c r="A274" s="705">
        <v>5</v>
      </c>
      <c r="B274" s="706">
        <v>1</v>
      </c>
      <c r="C274" s="706">
        <v>2</v>
      </c>
      <c r="D274" s="706"/>
      <c r="E274" s="706"/>
      <c r="F274" s="708" t="s">
        <v>650</v>
      </c>
      <c r="G274" s="710"/>
    </row>
    <row r="275" spans="1:7" ht="15.75">
      <c r="A275" s="705">
        <v>5</v>
      </c>
      <c r="B275" s="706">
        <v>2</v>
      </c>
      <c r="C275" s="706"/>
      <c r="D275" s="706"/>
      <c r="E275" s="706"/>
      <c r="F275" s="708" t="s">
        <v>687</v>
      </c>
      <c r="G275" s="709">
        <v>0</v>
      </c>
    </row>
    <row r="276" spans="1:7" ht="15.75">
      <c r="A276" s="705">
        <v>5</v>
      </c>
      <c r="B276" s="706">
        <v>3</v>
      </c>
      <c r="C276" s="706"/>
      <c r="D276" s="706"/>
      <c r="E276" s="706"/>
      <c r="F276" s="708" t="s">
        <v>688</v>
      </c>
      <c r="G276" s="709">
        <f>+G277</f>
        <v>0</v>
      </c>
    </row>
    <row r="277" spans="1:7" ht="15.75">
      <c r="A277" s="705">
        <v>5</v>
      </c>
      <c r="B277" s="706">
        <v>3</v>
      </c>
      <c r="C277" s="706">
        <v>1</v>
      </c>
      <c r="D277" s="706"/>
      <c r="E277" s="706"/>
      <c r="F277" s="708" t="s">
        <v>651</v>
      </c>
      <c r="G277" s="710"/>
    </row>
    <row r="278" spans="1:7" ht="15.75">
      <c r="A278" s="711">
        <v>6</v>
      </c>
      <c r="B278" s="706"/>
      <c r="C278" s="706"/>
      <c r="D278" s="706"/>
      <c r="E278" s="706"/>
      <c r="F278" s="708" t="s">
        <v>553</v>
      </c>
      <c r="G278" s="709">
        <f>+G279</f>
        <v>0</v>
      </c>
    </row>
    <row r="279" spans="1:7" ht="15.75">
      <c r="A279" s="705">
        <v>6</v>
      </c>
      <c r="B279" s="706">
        <v>1</v>
      </c>
      <c r="C279" s="706"/>
      <c r="D279" s="706"/>
      <c r="E279" s="706"/>
      <c r="F279" s="708" t="s">
        <v>689</v>
      </c>
      <c r="G279" s="709">
        <f>+G280</f>
        <v>0</v>
      </c>
    </row>
    <row r="280" spans="1:7" ht="16.5" thickBot="1">
      <c r="A280" s="712">
        <v>6</v>
      </c>
      <c r="B280" s="713">
        <v>1</v>
      </c>
      <c r="C280" s="713">
        <v>1</v>
      </c>
      <c r="D280" s="713"/>
      <c r="E280" s="713"/>
      <c r="F280" s="714" t="s">
        <v>652</v>
      </c>
      <c r="G280" s="715"/>
    </row>
    <row r="281" spans="1:7" ht="16.5" thickBot="1">
      <c r="A281" s="544"/>
      <c r="B281" s="544"/>
      <c r="C281" s="544"/>
      <c r="D281" s="544"/>
      <c r="E281" s="544"/>
      <c r="F281" s="699" t="s">
        <v>690</v>
      </c>
      <c r="G281" s="716">
        <f>+G260+G271+G278</f>
        <v>4965090</v>
      </c>
    </row>
    <row r="282" spans="1:7" ht="15">
      <c r="A282" s="544"/>
      <c r="B282" s="544"/>
      <c r="C282" s="544"/>
      <c r="D282" s="544"/>
      <c r="E282" s="544"/>
      <c r="F282" s="544"/>
      <c r="G282" s="735"/>
    </row>
    <row r="283" spans="1:7" ht="15.75">
      <c r="A283" s="720" t="str">
        <f>+A396</f>
        <v> </v>
      </c>
      <c r="B283" s="720"/>
      <c r="C283" s="720"/>
      <c r="D283" s="720"/>
      <c r="E283" s="720"/>
      <c r="F283" s="721" t="s">
        <v>366</v>
      </c>
      <c r="G283" s="720"/>
    </row>
    <row r="284" spans="1:7" ht="15.75">
      <c r="A284" s="783" t="str">
        <f>+A425</f>
        <v>PRESUPUESTO AÑO 2008</v>
      </c>
      <c r="B284" s="784"/>
      <c r="C284" s="784"/>
      <c r="D284" s="784"/>
      <c r="E284" s="784"/>
      <c r="F284" s="784"/>
      <c r="G284" s="784"/>
    </row>
    <row r="285" spans="1:7" ht="16.5" thickBot="1">
      <c r="A285" s="69" t="s">
        <v>123</v>
      </c>
      <c r="B285" s="544"/>
      <c r="C285" s="544"/>
      <c r="D285" s="544"/>
      <c r="E285" s="544"/>
      <c r="F285" s="544"/>
      <c r="G285" s="76" t="s">
        <v>124</v>
      </c>
    </row>
    <row r="286" spans="1:7" ht="16.5" thickBot="1">
      <c r="A286" s="785" t="s">
        <v>621</v>
      </c>
      <c r="B286" s="786"/>
      <c r="C286" s="786"/>
      <c r="D286" s="786"/>
      <c r="E286" s="786"/>
      <c r="F286" s="698" t="s">
        <v>657</v>
      </c>
      <c r="G286" s="698" t="s">
        <v>658</v>
      </c>
    </row>
    <row r="287" spans="1:7" ht="16.5" thickBot="1">
      <c r="A287" s="362" t="s">
        <v>659</v>
      </c>
      <c r="B287" s="362" t="s">
        <v>660</v>
      </c>
      <c r="C287" s="362" t="s">
        <v>661</v>
      </c>
      <c r="D287" s="362" t="s">
        <v>625</v>
      </c>
      <c r="E287" s="691" t="s">
        <v>662</v>
      </c>
      <c r="F287" s="699" t="s">
        <v>663</v>
      </c>
      <c r="G287" s="699"/>
    </row>
    <row r="288" spans="1:7" ht="15.75">
      <c r="A288" s="700">
        <v>4</v>
      </c>
      <c r="B288" s="701"/>
      <c r="C288" s="701"/>
      <c r="D288" s="701"/>
      <c r="E288" s="702"/>
      <c r="F288" s="703" t="s">
        <v>539</v>
      </c>
      <c r="G288" s="704">
        <f>+G289+G295+G297</f>
        <v>2352420</v>
      </c>
    </row>
    <row r="289" spans="1:7" ht="15.75">
      <c r="A289" s="705">
        <v>4</v>
      </c>
      <c r="B289" s="706">
        <v>1</v>
      </c>
      <c r="C289" s="706"/>
      <c r="D289" s="706"/>
      <c r="E289" s="707"/>
      <c r="F289" s="708" t="s">
        <v>664</v>
      </c>
      <c r="G289" s="709">
        <f>+G290+G293+G294</f>
        <v>2352420</v>
      </c>
    </row>
    <row r="290" spans="1:7" ht="15.75">
      <c r="A290" s="705">
        <v>4</v>
      </c>
      <c r="B290" s="706">
        <v>1</v>
      </c>
      <c r="C290" s="706">
        <v>1</v>
      </c>
      <c r="D290" s="706"/>
      <c r="E290" s="707"/>
      <c r="F290" s="708" t="s">
        <v>644</v>
      </c>
      <c r="G290" s="709">
        <f>+G291+G292</f>
        <v>2299340</v>
      </c>
    </row>
    <row r="291" spans="1:7" ht="15.75">
      <c r="A291" s="705">
        <v>4</v>
      </c>
      <c r="B291" s="706">
        <v>1</v>
      </c>
      <c r="C291" s="706">
        <v>1</v>
      </c>
      <c r="D291" s="706">
        <v>1</v>
      </c>
      <c r="E291" s="707"/>
      <c r="F291" s="708" t="s">
        <v>665</v>
      </c>
      <c r="G291" s="709">
        <f>+ANEXO5!G$367</f>
        <v>2218070</v>
      </c>
    </row>
    <row r="292" spans="1:7" ht="15.75">
      <c r="A292" s="705">
        <v>4</v>
      </c>
      <c r="B292" s="706">
        <v>1</v>
      </c>
      <c r="C292" s="706">
        <v>1</v>
      </c>
      <c r="D292" s="706">
        <v>2</v>
      </c>
      <c r="E292" s="707"/>
      <c r="F292" s="708" t="s">
        <v>682</v>
      </c>
      <c r="G292" s="709">
        <f>+ANEXO5!G$386</f>
        <v>81270</v>
      </c>
    </row>
    <row r="293" spans="1:7" ht="15.75">
      <c r="A293" s="705">
        <v>4</v>
      </c>
      <c r="B293" s="706">
        <v>1</v>
      </c>
      <c r="C293" s="706">
        <v>2</v>
      </c>
      <c r="D293" s="706"/>
      <c r="E293" s="707"/>
      <c r="F293" s="708" t="s">
        <v>645</v>
      </c>
      <c r="G293" s="709">
        <f>+ANEXO5!G$415</f>
        <v>2000</v>
      </c>
    </row>
    <row r="294" spans="1:8" ht="15.75">
      <c r="A294" s="705">
        <v>4</v>
      </c>
      <c r="B294" s="706">
        <v>1</v>
      </c>
      <c r="C294" s="706">
        <v>3</v>
      </c>
      <c r="D294" s="706"/>
      <c r="E294" s="707"/>
      <c r="F294" s="708" t="s">
        <v>646</v>
      </c>
      <c r="G294" s="709">
        <f>+ANEXO5!G$442</f>
        <v>51080</v>
      </c>
      <c r="H294" s="1"/>
    </row>
    <row r="295" spans="1:7" ht="15.75">
      <c r="A295" s="705">
        <v>4</v>
      </c>
      <c r="B295" s="706">
        <v>2</v>
      </c>
      <c r="C295" s="706"/>
      <c r="D295" s="706"/>
      <c r="E295" s="707"/>
      <c r="F295" s="708" t="s">
        <v>683</v>
      </c>
      <c r="G295" s="709">
        <f>+G296</f>
        <v>0</v>
      </c>
    </row>
    <row r="296" spans="1:7" ht="15.75">
      <c r="A296" s="705">
        <v>4</v>
      </c>
      <c r="B296" s="706">
        <v>2</v>
      </c>
      <c r="C296" s="706">
        <v>1</v>
      </c>
      <c r="D296" s="706"/>
      <c r="E296" s="707"/>
      <c r="F296" s="708" t="s">
        <v>684</v>
      </c>
      <c r="G296" s="710"/>
    </row>
    <row r="297" spans="1:7" ht="15.75">
      <c r="A297" s="705">
        <v>4</v>
      </c>
      <c r="B297" s="706">
        <v>3</v>
      </c>
      <c r="C297" s="706"/>
      <c r="D297" s="706"/>
      <c r="E297" s="707"/>
      <c r="F297" s="708" t="s">
        <v>685</v>
      </c>
      <c r="G297" s="709">
        <f>+G298</f>
        <v>0</v>
      </c>
    </row>
    <row r="298" spans="1:7" ht="15.75">
      <c r="A298" s="705">
        <v>4</v>
      </c>
      <c r="B298" s="706">
        <v>3</v>
      </c>
      <c r="C298" s="706">
        <v>1</v>
      </c>
      <c r="D298" s="706"/>
      <c r="E298" s="707"/>
      <c r="F298" s="708" t="s">
        <v>648</v>
      </c>
      <c r="G298" s="710"/>
    </row>
    <row r="299" spans="1:7" ht="15.75">
      <c r="A299" s="711">
        <v>5</v>
      </c>
      <c r="B299" s="706"/>
      <c r="C299" s="706"/>
      <c r="D299" s="706"/>
      <c r="E299" s="707"/>
      <c r="F299" s="708" t="s">
        <v>548</v>
      </c>
      <c r="G299" s="709">
        <f>+G300+G303+G304</f>
        <v>836280</v>
      </c>
    </row>
    <row r="300" spans="1:7" ht="15.75">
      <c r="A300" s="705">
        <v>5</v>
      </c>
      <c r="B300" s="706">
        <v>1</v>
      </c>
      <c r="C300" s="706"/>
      <c r="D300" s="706"/>
      <c r="E300" s="707"/>
      <c r="F300" s="708" t="s">
        <v>686</v>
      </c>
      <c r="G300" s="709">
        <f>+G301+G302</f>
        <v>836280</v>
      </c>
    </row>
    <row r="301" spans="1:7" ht="15.75">
      <c r="A301" s="705">
        <v>5</v>
      </c>
      <c r="B301" s="706">
        <v>1</v>
      </c>
      <c r="C301" s="706">
        <v>1</v>
      </c>
      <c r="D301" s="706"/>
      <c r="E301" s="707"/>
      <c r="F301" s="708" t="s">
        <v>649</v>
      </c>
      <c r="G301" s="710">
        <f>+ANEXO5!G$458</f>
        <v>836280</v>
      </c>
    </row>
    <row r="302" spans="1:7" ht="15.75">
      <c r="A302" s="705">
        <v>5</v>
      </c>
      <c r="B302" s="706">
        <v>1</v>
      </c>
      <c r="C302" s="706">
        <v>2</v>
      </c>
      <c r="D302" s="706"/>
      <c r="E302" s="706"/>
      <c r="F302" s="708" t="s">
        <v>650</v>
      </c>
      <c r="G302" s="710"/>
    </row>
    <row r="303" spans="1:7" ht="15.75">
      <c r="A303" s="705">
        <v>5</v>
      </c>
      <c r="B303" s="706">
        <v>2</v>
      </c>
      <c r="C303" s="706"/>
      <c r="D303" s="706"/>
      <c r="E303" s="706"/>
      <c r="F303" s="708" t="s">
        <v>687</v>
      </c>
      <c r="G303" s="709">
        <v>0</v>
      </c>
    </row>
    <row r="304" spans="1:7" ht="15.75">
      <c r="A304" s="705">
        <v>5</v>
      </c>
      <c r="B304" s="706">
        <v>3</v>
      </c>
      <c r="C304" s="706"/>
      <c r="D304" s="706"/>
      <c r="E304" s="706"/>
      <c r="F304" s="708" t="s">
        <v>688</v>
      </c>
      <c r="G304" s="709">
        <f>+G305</f>
        <v>0</v>
      </c>
    </row>
    <row r="305" spans="1:7" ht="15.75">
      <c r="A305" s="705">
        <v>5</v>
      </c>
      <c r="B305" s="706">
        <v>3</v>
      </c>
      <c r="C305" s="706">
        <v>1</v>
      </c>
      <c r="D305" s="706"/>
      <c r="E305" s="706"/>
      <c r="F305" s="708" t="s">
        <v>651</v>
      </c>
      <c r="G305" s="710"/>
    </row>
    <row r="306" spans="1:7" ht="15.75">
      <c r="A306" s="711">
        <v>6</v>
      </c>
      <c r="B306" s="706"/>
      <c r="C306" s="706"/>
      <c r="D306" s="706"/>
      <c r="E306" s="706"/>
      <c r="F306" s="708" t="s">
        <v>553</v>
      </c>
      <c r="G306" s="709">
        <f>+G307</f>
        <v>0</v>
      </c>
    </row>
    <row r="307" spans="1:7" ht="15.75">
      <c r="A307" s="705">
        <v>6</v>
      </c>
      <c r="B307" s="706">
        <v>1</v>
      </c>
      <c r="C307" s="706"/>
      <c r="D307" s="706"/>
      <c r="E307" s="706"/>
      <c r="F307" s="708" t="s">
        <v>689</v>
      </c>
      <c r="G307" s="709">
        <f>+G308</f>
        <v>0</v>
      </c>
    </row>
    <row r="308" spans="1:7" ht="16.5" thickBot="1">
      <c r="A308" s="712">
        <v>6</v>
      </c>
      <c r="B308" s="713">
        <v>1</v>
      </c>
      <c r="C308" s="713">
        <v>1</v>
      </c>
      <c r="D308" s="713"/>
      <c r="E308" s="713"/>
      <c r="F308" s="714" t="s">
        <v>652</v>
      </c>
      <c r="G308" s="715"/>
    </row>
    <row r="309" spans="1:7" ht="16.5" thickBot="1">
      <c r="A309" s="544"/>
      <c r="B309" s="544"/>
      <c r="C309" s="544"/>
      <c r="D309" s="544"/>
      <c r="E309" s="544"/>
      <c r="F309" s="699" t="s">
        <v>690</v>
      </c>
      <c r="G309" s="716">
        <f>+G288+G299+G306</f>
        <v>3188700</v>
      </c>
    </row>
    <row r="310" spans="1:7" ht="15">
      <c r="A310" s="544"/>
      <c r="B310" s="544"/>
      <c r="C310" s="544"/>
      <c r="D310" s="544"/>
      <c r="E310" s="544"/>
      <c r="F310" s="544"/>
      <c r="G310" s="735"/>
    </row>
    <row r="311" spans="1:7" ht="15.75">
      <c r="A311" s="720" t="str">
        <f>+A424</f>
        <v> </v>
      </c>
      <c r="B311" s="720"/>
      <c r="C311" s="720"/>
      <c r="D311" s="720"/>
      <c r="E311" s="720"/>
      <c r="F311" s="721" t="s">
        <v>1140</v>
      </c>
      <c r="G311" s="720"/>
    </row>
    <row r="312" spans="1:7" ht="15.75">
      <c r="A312" s="783" t="str">
        <f>+A453</f>
        <v>PRESUPUESTO AÑO 2008</v>
      </c>
      <c r="B312" s="784"/>
      <c r="C312" s="784"/>
      <c r="D312" s="784"/>
      <c r="E312" s="784"/>
      <c r="F312" s="784"/>
      <c r="G312" s="784"/>
    </row>
    <row r="313" spans="1:7" ht="16.5" thickBot="1">
      <c r="A313" s="69" t="s">
        <v>557</v>
      </c>
      <c r="B313" s="544"/>
      <c r="C313" s="544"/>
      <c r="D313" s="544"/>
      <c r="E313" s="544"/>
      <c r="F313" s="544"/>
      <c r="G313" s="76" t="s">
        <v>556</v>
      </c>
    </row>
    <row r="314" spans="1:7" ht="16.5" thickBot="1">
      <c r="A314" s="785" t="s">
        <v>621</v>
      </c>
      <c r="B314" s="786"/>
      <c r="C314" s="786"/>
      <c r="D314" s="786"/>
      <c r="E314" s="786"/>
      <c r="F314" s="698" t="s">
        <v>657</v>
      </c>
      <c r="G314" s="698" t="s">
        <v>658</v>
      </c>
    </row>
    <row r="315" spans="1:7" ht="16.5" thickBot="1">
      <c r="A315" s="362" t="s">
        <v>659</v>
      </c>
      <c r="B315" s="362" t="s">
        <v>660</v>
      </c>
      <c r="C315" s="362" t="s">
        <v>661</v>
      </c>
      <c r="D315" s="362" t="s">
        <v>625</v>
      </c>
      <c r="E315" s="691" t="s">
        <v>662</v>
      </c>
      <c r="F315" s="699" t="s">
        <v>663</v>
      </c>
      <c r="G315" s="699"/>
    </row>
    <row r="316" spans="1:7" ht="15.75">
      <c r="A316" s="700">
        <v>4</v>
      </c>
      <c r="B316" s="701"/>
      <c r="C316" s="701"/>
      <c r="D316" s="701"/>
      <c r="E316" s="702"/>
      <c r="F316" s="703" t="s">
        <v>539</v>
      </c>
      <c r="G316" s="704">
        <f>+G317+G323+G325</f>
        <v>1667990</v>
      </c>
    </row>
    <row r="317" spans="1:7" ht="15.75">
      <c r="A317" s="705">
        <v>4</v>
      </c>
      <c r="B317" s="706">
        <v>1</v>
      </c>
      <c r="C317" s="706"/>
      <c r="D317" s="706"/>
      <c r="E317" s="707"/>
      <c r="F317" s="708" t="s">
        <v>664</v>
      </c>
      <c r="G317" s="709">
        <f>+G318+G321+G322</f>
        <v>1667990</v>
      </c>
    </row>
    <row r="318" spans="1:7" ht="15.75">
      <c r="A318" s="705">
        <v>4</v>
      </c>
      <c r="B318" s="706">
        <v>1</v>
      </c>
      <c r="C318" s="706">
        <v>1</v>
      </c>
      <c r="D318" s="706"/>
      <c r="E318" s="707"/>
      <c r="F318" s="708" t="s">
        <v>644</v>
      </c>
      <c r="G318" s="709">
        <f>+G319+G320</f>
        <v>752830</v>
      </c>
    </row>
    <row r="319" spans="1:7" ht="15.75">
      <c r="A319" s="705">
        <v>4</v>
      </c>
      <c r="B319" s="706">
        <v>1</v>
      </c>
      <c r="C319" s="706">
        <v>1</v>
      </c>
      <c r="D319" s="706">
        <v>1</v>
      </c>
      <c r="E319" s="707"/>
      <c r="F319" s="708" t="s">
        <v>665</v>
      </c>
      <c r="G319" s="709">
        <f>+ANEXO5!H367</f>
        <v>752830</v>
      </c>
    </row>
    <row r="320" spans="1:7" ht="15.75">
      <c r="A320" s="705">
        <v>4</v>
      </c>
      <c r="B320" s="706">
        <v>1</v>
      </c>
      <c r="C320" s="706">
        <v>1</v>
      </c>
      <c r="D320" s="706">
        <v>2</v>
      </c>
      <c r="E320" s="707"/>
      <c r="F320" s="708" t="s">
        <v>682</v>
      </c>
      <c r="G320" s="709">
        <f>+ANEXO5!H386</f>
        <v>0</v>
      </c>
    </row>
    <row r="321" spans="1:7" ht="15.75">
      <c r="A321" s="705">
        <v>4</v>
      </c>
      <c r="B321" s="706">
        <v>1</v>
      </c>
      <c r="C321" s="706">
        <v>2</v>
      </c>
      <c r="D321" s="706"/>
      <c r="E321" s="707"/>
      <c r="F321" s="708" t="s">
        <v>645</v>
      </c>
      <c r="G321" s="709">
        <f>+ANEXO5!H415</f>
        <v>915160</v>
      </c>
    </row>
    <row r="322" spans="1:8" ht="15.75">
      <c r="A322" s="705">
        <v>4</v>
      </c>
      <c r="B322" s="706">
        <v>1</v>
      </c>
      <c r="C322" s="706">
        <v>3</v>
      </c>
      <c r="D322" s="706"/>
      <c r="E322" s="707"/>
      <c r="F322" s="708" t="s">
        <v>646</v>
      </c>
      <c r="G322" s="709">
        <f>+ANEXO5!H442</f>
        <v>0</v>
      </c>
      <c r="H322" s="1"/>
    </row>
    <row r="323" spans="1:7" ht="15.75">
      <c r="A323" s="705">
        <v>4</v>
      </c>
      <c r="B323" s="706">
        <v>2</v>
      </c>
      <c r="C323" s="706"/>
      <c r="D323" s="706"/>
      <c r="E323" s="707"/>
      <c r="F323" s="708" t="s">
        <v>683</v>
      </c>
      <c r="G323" s="709">
        <f>+G324</f>
        <v>0</v>
      </c>
    </row>
    <row r="324" spans="1:7" ht="15.75">
      <c r="A324" s="705">
        <v>4</v>
      </c>
      <c r="B324" s="706">
        <v>2</v>
      </c>
      <c r="C324" s="706">
        <v>1</v>
      </c>
      <c r="D324" s="706"/>
      <c r="E324" s="707"/>
      <c r="F324" s="708" t="s">
        <v>684</v>
      </c>
      <c r="G324" s="710"/>
    </row>
    <row r="325" spans="1:7" ht="15.75">
      <c r="A325" s="705">
        <v>4</v>
      </c>
      <c r="B325" s="706">
        <v>3</v>
      </c>
      <c r="C325" s="706"/>
      <c r="D325" s="706"/>
      <c r="E325" s="707"/>
      <c r="F325" s="708" t="s">
        <v>685</v>
      </c>
      <c r="G325" s="709">
        <f>+G326</f>
        <v>0</v>
      </c>
    </row>
    <row r="326" spans="1:7" ht="15.75">
      <c r="A326" s="705">
        <v>4</v>
      </c>
      <c r="B326" s="706">
        <v>3</v>
      </c>
      <c r="C326" s="706">
        <v>1</v>
      </c>
      <c r="D326" s="706"/>
      <c r="E326" s="707"/>
      <c r="F326" s="708" t="s">
        <v>648</v>
      </c>
      <c r="G326" s="710"/>
    </row>
    <row r="327" spans="1:7" ht="15.75">
      <c r="A327" s="711">
        <v>5</v>
      </c>
      <c r="B327" s="706"/>
      <c r="C327" s="706"/>
      <c r="D327" s="706"/>
      <c r="E327" s="707"/>
      <c r="F327" s="708" t="s">
        <v>548</v>
      </c>
      <c r="G327" s="709">
        <f>+G328+G331+G332</f>
        <v>20300</v>
      </c>
    </row>
    <row r="328" spans="1:7" ht="15.75">
      <c r="A328" s="705">
        <v>5</v>
      </c>
      <c r="B328" s="706">
        <v>1</v>
      </c>
      <c r="C328" s="706"/>
      <c r="D328" s="706"/>
      <c r="E328" s="707"/>
      <c r="F328" s="708" t="s">
        <v>686</v>
      </c>
      <c r="G328" s="709">
        <f>+G329+G330</f>
        <v>20300</v>
      </c>
    </row>
    <row r="329" spans="1:7" ht="15.75">
      <c r="A329" s="705">
        <v>5</v>
      </c>
      <c r="B329" s="706">
        <v>1</v>
      </c>
      <c r="C329" s="706">
        <v>1</v>
      </c>
      <c r="D329" s="706"/>
      <c r="E329" s="707"/>
      <c r="F329" s="708" t="s">
        <v>649</v>
      </c>
      <c r="G329" s="710">
        <f>+ANEXO5!H458</f>
        <v>20300</v>
      </c>
    </row>
    <row r="330" spans="1:7" ht="15.75">
      <c r="A330" s="705">
        <v>5</v>
      </c>
      <c r="B330" s="706">
        <v>1</v>
      </c>
      <c r="C330" s="706">
        <v>2</v>
      </c>
      <c r="D330" s="706"/>
      <c r="E330" s="706"/>
      <c r="F330" s="708" t="s">
        <v>650</v>
      </c>
      <c r="G330" s="710"/>
    </row>
    <row r="331" spans="1:7" ht="15.75">
      <c r="A331" s="705">
        <v>5</v>
      </c>
      <c r="B331" s="706">
        <v>2</v>
      </c>
      <c r="C331" s="706"/>
      <c r="D331" s="706"/>
      <c r="E331" s="706"/>
      <c r="F331" s="708" t="s">
        <v>687</v>
      </c>
      <c r="G331" s="709">
        <v>0</v>
      </c>
    </row>
    <row r="332" spans="1:7" ht="15.75">
      <c r="A332" s="705">
        <v>5</v>
      </c>
      <c r="B332" s="706">
        <v>3</v>
      </c>
      <c r="C332" s="706"/>
      <c r="D332" s="706"/>
      <c r="E332" s="706"/>
      <c r="F332" s="708" t="s">
        <v>688</v>
      </c>
      <c r="G332" s="709">
        <f>+G333</f>
        <v>0</v>
      </c>
    </row>
    <row r="333" spans="1:7" ht="15.75">
      <c r="A333" s="705">
        <v>5</v>
      </c>
      <c r="B333" s="706">
        <v>3</v>
      </c>
      <c r="C333" s="706">
        <v>1</v>
      </c>
      <c r="D333" s="706"/>
      <c r="E333" s="706"/>
      <c r="F333" s="708" t="s">
        <v>651</v>
      </c>
      <c r="G333" s="710"/>
    </row>
    <row r="334" spans="1:7" ht="15.75">
      <c r="A334" s="711">
        <v>6</v>
      </c>
      <c r="B334" s="706"/>
      <c r="C334" s="706"/>
      <c r="D334" s="706"/>
      <c r="E334" s="706"/>
      <c r="F334" s="708" t="s">
        <v>553</v>
      </c>
      <c r="G334" s="709">
        <f>+G335</f>
        <v>0</v>
      </c>
    </row>
    <row r="335" spans="1:7" ht="15.75">
      <c r="A335" s="705">
        <v>6</v>
      </c>
      <c r="B335" s="706">
        <v>1</v>
      </c>
      <c r="C335" s="706"/>
      <c r="D335" s="706"/>
      <c r="E335" s="706"/>
      <c r="F335" s="708" t="s">
        <v>689</v>
      </c>
      <c r="G335" s="709">
        <f>+G336</f>
        <v>0</v>
      </c>
    </row>
    <row r="336" spans="1:7" ht="16.5" thickBot="1">
      <c r="A336" s="712">
        <v>6</v>
      </c>
      <c r="B336" s="713">
        <v>1</v>
      </c>
      <c r="C336" s="713">
        <v>1</v>
      </c>
      <c r="D336" s="713"/>
      <c r="E336" s="713"/>
      <c r="F336" s="714" t="s">
        <v>652</v>
      </c>
      <c r="G336" s="715"/>
    </row>
    <row r="337" spans="1:7" ht="16.5" thickBot="1">
      <c r="A337" s="544"/>
      <c r="B337" s="544"/>
      <c r="C337" s="544"/>
      <c r="D337" s="544"/>
      <c r="E337" s="544"/>
      <c r="F337" s="699" t="s">
        <v>690</v>
      </c>
      <c r="G337" s="716">
        <f>+G316+G327+G334</f>
        <v>1688290</v>
      </c>
    </row>
    <row r="338" spans="1:7" ht="15">
      <c r="A338" s="544"/>
      <c r="B338" s="544"/>
      <c r="C338" s="544"/>
      <c r="D338" s="544"/>
      <c r="E338" s="544"/>
      <c r="F338" s="544"/>
      <c r="G338" s="735"/>
    </row>
    <row r="339" spans="1:7" ht="15.75">
      <c r="A339" s="720" t="str">
        <f>+A255</f>
        <v> </v>
      </c>
      <c r="B339" s="720"/>
      <c r="C339" s="720"/>
      <c r="D339" s="720"/>
      <c r="E339" s="720"/>
      <c r="F339" s="721" t="s">
        <v>365</v>
      </c>
      <c r="G339" s="736"/>
    </row>
    <row r="340" spans="1:7" ht="15.75">
      <c r="A340" s="783" t="str">
        <f>+A256</f>
        <v>PRESUPUESTO AÑO 2008</v>
      </c>
      <c r="B340" s="784"/>
      <c r="C340" s="784"/>
      <c r="D340" s="784"/>
      <c r="E340" s="784"/>
      <c r="F340" s="784"/>
      <c r="G340" s="784"/>
    </row>
    <row r="341" spans="1:7" ht="16.5" thickBot="1">
      <c r="A341" s="69" t="s">
        <v>102</v>
      </c>
      <c r="B341" s="544"/>
      <c r="C341" s="544"/>
      <c r="D341" s="544"/>
      <c r="E341" s="544"/>
      <c r="F341" s="544"/>
      <c r="G341" s="76">
        <v>451</v>
      </c>
    </row>
    <row r="342" spans="1:7" ht="16.5" thickBot="1">
      <c r="A342" s="785" t="s">
        <v>621</v>
      </c>
      <c r="B342" s="786"/>
      <c r="C342" s="786"/>
      <c r="D342" s="786"/>
      <c r="E342" s="786"/>
      <c r="F342" s="698" t="s">
        <v>657</v>
      </c>
      <c r="G342" s="698" t="s">
        <v>658</v>
      </c>
    </row>
    <row r="343" spans="1:7" ht="16.5" thickBot="1">
      <c r="A343" s="362" t="s">
        <v>659</v>
      </c>
      <c r="B343" s="362" t="s">
        <v>660</v>
      </c>
      <c r="C343" s="362" t="s">
        <v>661</v>
      </c>
      <c r="D343" s="362" t="s">
        <v>625</v>
      </c>
      <c r="E343" s="691" t="s">
        <v>662</v>
      </c>
      <c r="F343" s="699" t="s">
        <v>663</v>
      </c>
      <c r="G343" s="699"/>
    </row>
    <row r="344" spans="1:7" ht="15.75">
      <c r="A344" s="700">
        <v>4</v>
      </c>
      <c r="B344" s="701"/>
      <c r="C344" s="701"/>
      <c r="D344" s="701"/>
      <c r="E344" s="702"/>
      <c r="F344" s="703" t="s">
        <v>539</v>
      </c>
      <c r="G344" s="704">
        <f>+G345+G351+G353</f>
        <v>1998520</v>
      </c>
    </row>
    <row r="345" spans="1:7" ht="15.75">
      <c r="A345" s="705">
        <v>4</v>
      </c>
      <c r="B345" s="706">
        <v>1</v>
      </c>
      <c r="C345" s="706"/>
      <c r="D345" s="706"/>
      <c r="E345" s="707"/>
      <c r="F345" s="708" t="s">
        <v>664</v>
      </c>
      <c r="G345" s="709">
        <f>+G346+G349+G350</f>
        <v>1998520</v>
      </c>
    </row>
    <row r="346" spans="1:7" ht="15.75">
      <c r="A346" s="705">
        <v>4</v>
      </c>
      <c r="B346" s="706">
        <v>1</v>
      </c>
      <c r="C346" s="706">
        <v>1</v>
      </c>
      <c r="D346" s="706"/>
      <c r="E346" s="707"/>
      <c r="F346" s="708" t="s">
        <v>644</v>
      </c>
      <c r="G346" s="709">
        <f>+G347+G348</f>
        <v>1951020</v>
      </c>
    </row>
    <row r="347" spans="1:7" ht="15.75">
      <c r="A347" s="705">
        <v>4</v>
      </c>
      <c r="B347" s="706">
        <v>1</v>
      </c>
      <c r="C347" s="706">
        <v>1</v>
      </c>
      <c r="D347" s="706">
        <v>1</v>
      </c>
      <c r="E347" s="707"/>
      <c r="F347" s="708" t="s">
        <v>665</v>
      </c>
      <c r="G347" s="709">
        <f>+ANEXO5!C$482</f>
        <v>1889520</v>
      </c>
    </row>
    <row r="348" spans="1:7" ht="15.75">
      <c r="A348" s="705">
        <v>4</v>
      </c>
      <c r="B348" s="706">
        <v>1</v>
      </c>
      <c r="C348" s="706">
        <v>1</v>
      </c>
      <c r="D348" s="706">
        <v>2</v>
      </c>
      <c r="E348" s="707"/>
      <c r="F348" s="708" t="s">
        <v>682</v>
      </c>
      <c r="G348" s="709">
        <f>+ANEXO5!C$501</f>
        <v>61500</v>
      </c>
    </row>
    <row r="349" spans="1:7" ht="15.75">
      <c r="A349" s="705">
        <v>4</v>
      </c>
      <c r="B349" s="706">
        <v>1</v>
      </c>
      <c r="C349" s="706">
        <v>2</v>
      </c>
      <c r="D349" s="706"/>
      <c r="E349" s="707"/>
      <c r="F349" s="708" t="s">
        <v>645</v>
      </c>
      <c r="G349" s="709">
        <f>+ANEXO5!C$530</f>
        <v>8500</v>
      </c>
    </row>
    <row r="350" spans="1:7" ht="15.75">
      <c r="A350" s="705">
        <v>4</v>
      </c>
      <c r="B350" s="706">
        <v>1</v>
      </c>
      <c r="C350" s="706">
        <v>3</v>
      </c>
      <c r="D350" s="706"/>
      <c r="E350" s="707"/>
      <c r="F350" s="708" t="s">
        <v>646</v>
      </c>
      <c r="G350" s="709">
        <f>+ANEXO5!C$557</f>
        <v>39000</v>
      </c>
    </row>
    <row r="351" spans="1:7" ht="15.75">
      <c r="A351" s="705">
        <v>4</v>
      </c>
      <c r="B351" s="706">
        <v>2</v>
      </c>
      <c r="C351" s="706"/>
      <c r="D351" s="706"/>
      <c r="E351" s="707"/>
      <c r="F351" s="708" t="s">
        <v>683</v>
      </c>
      <c r="G351" s="709">
        <f>+G352</f>
        <v>0</v>
      </c>
    </row>
    <row r="352" spans="1:7" ht="15.75">
      <c r="A352" s="705">
        <v>4</v>
      </c>
      <c r="B352" s="706">
        <v>2</v>
      </c>
      <c r="C352" s="706">
        <v>1</v>
      </c>
      <c r="D352" s="706"/>
      <c r="E352" s="707"/>
      <c r="F352" s="708" t="s">
        <v>684</v>
      </c>
      <c r="G352" s="710"/>
    </row>
    <row r="353" spans="1:7" ht="15.75">
      <c r="A353" s="705">
        <v>4</v>
      </c>
      <c r="B353" s="706">
        <v>3</v>
      </c>
      <c r="C353" s="706"/>
      <c r="D353" s="706"/>
      <c r="E353" s="707"/>
      <c r="F353" s="708" t="s">
        <v>685</v>
      </c>
      <c r="G353" s="709">
        <f>+G354</f>
        <v>0</v>
      </c>
    </row>
    <row r="354" spans="1:7" ht="15.75">
      <c r="A354" s="705">
        <v>4</v>
      </c>
      <c r="B354" s="706">
        <v>3</v>
      </c>
      <c r="C354" s="706">
        <v>1</v>
      </c>
      <c r="D354" s="706"/>
      <c r="E354" s="707"/>
      <c r="F354" s="708" t="s">
        <v>648</v>
      </c>
      <c r="G354" s="710"/>
    </row>
    <row r="355" spans="1:7" ht="15.75">
      <c r="A355" s="711">
        <v>5</v>
      </c>
      <c r="B355" s="706"/>
      <c r="C355" s="706"/>
      <c r="D355" s="706"/>
      <c r="E355" s="707"/>
      <c r="F355" s="708" t="s">
        <v>548</v>
      </c>
      <c r="G355" s="709">
        <f>+G356+G359+G360</f>
        <v>5720</v>
      </c>
    </row>
    <row r="356" spans="1:7" ht="15.75">
      <c r="A356" s="705">
        <v>5</v>
      </c>
      <c r="B356" s="706">
        <v>1</v>
      </c>
      <c r="C356" s="706"/>
      <c r="D356" s="706"/>
      <c r="E356" s="707"/>
      <c r="F356" s="708" t="s">
        <v>686</v>
      </c>
      <c r="G356" s="709">
        <f>+G357+G358</f>
        <v>5720</v>
      </c>
    </row>
    <row r="357" spans="1:7" ht="15.75">
      <c r="A357" s="705">
        <v>5</v>
      </c>
      <c r="B357" s="706">
        <v>1</v>
      </c>
      <c r="C357" s="706">
        <v>1</v>
      </c>
      <c r="D357" s="706"/>
      <c r="E357" s="707"/>
      <c r="F357" s="708" t="s">
        <v>649</v>
      </c>
      <c r="G357" s="710">
        <f>+ANEXO5!C$573</f>
        <v>5720</v>
      </c>
    </row>
    <row r="358" spans="1:7" ht="15.75">
      <c r="A358" s="705">
        <v>5</v>
      </c>
      <c r="B358" s="706">
        <v>1</v>
      </c>
      <c r="C358" s="706">
        <v>2</v>
      </c>
      <c r="D358" s="706"/>
      <c r="E358" s="706"/>
      <c r="F358" s="708" t="s">
        <v>650</v>
      </c>
      <c r="G358" s="710"/>
    </row>
    <row r="359" spans="1:7" ht="15.75">
      <c r="A359" s="705">
        <v>5</v>
      </c>
      <c r="B359" s="706">
        <v>2</v>
      </c>
      <c r="C359" s="706"/>
      <c r="D359" s="706"/>
      <c r="E359" s="706"/>
      <c r="F359" s="708" t="s">
        <v>687</v>
      </c>
      <c r="G359" s="709">
        <v>0</v>
      </c>
    </row>
    <row r="360" spans="1:7" ht="15.75">
      <c r="A360" s="705">
        <v>5</v>
      </c>
      <c r="B360" s="706">
        <v>3</v>
      </c>
      <c r="C360" s="706"/>
      <c r="D360" s="706"/>
      <c r="E360" s="706"/>
      <c r="F360" s="708" t="s">
        <v>688</v>
      </c>
      <c r="G360" s="709">
        <f>+G361</f>
        <v>0</v>
      </c>
    </row>
    <row r="361" spans="1:7" ht="15.75">
      <c r="A361" s="705">
        <v>5</v>
      </c>
      <c r="B361" s="706">
        <v>3</v>
      </c>
      <c r="C361" s="706">
        <v>1</v>
      </c>
      <c r="D361" s="706"/>
      <c r="E361" s="706"/>
      <c r="F361" s="708" t="s">
        <v>651</v>
      </c>
      <c r="G361" s="710"/>
    </row>
    <row r="362" spans="1:7" ht="15.75">
      <c r="A362" s="711">
        <v>6</v>
      </c>
      <c r="B362" s="706"/>
      <c r="C362" s="706"/>
      <c r="D362" s="706"/>
      <c r="E362" s="706"/>
      <c r="F362" s="708" t="s">
        <v>553</v>
      </c>
      <c r="G362" s="709">
        <f>+G363</f>
        <v>0</v>
      </c>
    </row>
    <row r="363" spans="1:7" ht="15.75">
      <c r="A363" s="705">
        <v>6</v>
      </c>
      <c r="B363" s="706">
        <v>1</v>
      </c>
      <c r="C363" s="706"/>
      <c r="D363" s="706"/>
      <c r="E363" s="706"/>
      <c r="F363" s="708" t="s">
        <v>689</v>
      </c>
      <c r="G363" s="709">
        <f>+G364</f>
        <v>0</v>
      </c>
    </row>
    <row r="364" spans="1:7" ht="16.5" thickBot="1">
      <c r="A364" s="712">
        <v>6</v>
      </c>
      <c r="B364" s="713">
        <v>1</v>
      </c>
      <c r="C364" s="713">
        <v>1</v>
      </c>
      <c r="D364" s="713"/>
      <c r="E364" s="713"/>
      <c r="F364" s="714" t="s">
        <v>652</v>
      </c>
      <c r="G364" s="715"/>
    </row>
    <row r="365" spans="1:7" ht="16.5" thickBot="1">
      <c r="A365" s="544"/>
      <c r="B365" s="544"/>
      <c r="C365" s="544"/>
      <c r="D365" s="544"/>
      <c r="E365" s="544"/>
      <c r="F365" s="699" t="s">
        <v>690</v>
      </c>
      <c r="G365" s="716">
        <f>+G344+G355+G362</f>
        <v>2004240</v>
      </c>
    </row>
    <row r="366" spans="1:7" ht="15">
      <c r="A366" s="544" t="s">
        <v>50</v>
      </c>
      <c r="B366" s="544"/>
      <c r="C366" s="544"/>
      <c r="D366" s="544"/>
      <c r="E366" s="544"/>
      <c r="F366" s="544"/>
      <c r="G366" s="735"/>
    </row>
    <row r="367" spans="1:7" ht="15">
      <c r="A367" s="544"/>
      <c r="B367" s="544"/>
      <c r="C367" s="544"/>
      <c r="D367" s="544"/>
      <c r="E367" s="544"/>
      <c r="F367" s="544"/>
      <c r="G367" s="735"/>
    </row>
    <row r="368" spans="1:7" ht="15.75">
      <c r="A368" s="720" t="str">
        <f>+A339</f>
        <v> </v>
      </c>
      <c r="B368" s="720"/>
      <c r="C368" s="720"/>
      <c r="D368" s="720"/>
      <c r="E368" s="720"/>
      <c r="F368" s="721" t="s">
        <v>365</v>
      </c>
      <c r="G368" s="736"/>
    </row>
    <row r="369" spans="1:7" ht="15.75">
      <c r="A369" s="783" t="str">
        <f>+A340</f>
        <v>PRESUPUESTO AÑO 2008</v>
      </c>
      <c r="B369" s="784"/>
      <c r="C369" s="784"/>
      <c r="D369" s="784"/>
      <c r="E369" s="784"/>
      <c r="F369" s="784"/>
      <c r="G369" s="784"/>
    </row>
    <row r="370" spans="1:7" ht="16.5" thickBot="1">
      <c r="A370" s="69" t="s">
        <v>410</v>
      </c>
      <c r="B370" s="544"/>
      <c r="C370" s="544"/>
      <c r="D370" s="544"/>
      <c r="E370" s="544"/>
      <c r="F370" s="544"/>
      <c r="G370" s="76">
        <v>461</v>
      </c>
    </row>
    <row r="371" spans="1:7" ht="16.5" thickBot="1">
      <c r="A371" s="785" t="s">
        <v>621</v>
      </c>
      <c r="B371" s="786"/>
      <c r="C371" s="786"/>
      <c r="D371" s="786"/>
      <c r="E371" s="786"/>
      <c r="F371" s="698" t="s">
        <v>657</v>
      </c>
      <c r="G371" s="698" t="s">
        <v>658</v>
      </c>
    </row>
    <row r="372" spans="1:7" ht="16.5" thickBot="1">
      <c r="A372" s="362" t="s">
        <v>659</v>
      </c>
      <c r="B372" s="362" t="s">
        <v>660</v>
      </c>
      <c r="C372" s="362" t="s">
        <v>661</v>
      </c>
      <c r="D372" s="362" t="s">
        <v>625</v>
      </c>
      <c r="E372" s="691" t="s">
        <v>662</v>
      </c>
      <c r="F372" s="699" t="s">
        <v>663</v>
      </c>
      <c r="G372" s="699"/>
    </row>
    <row r="373" spans="1:7" ht="15.75">
      <c r="A373" s="700">
        <v>4</v>
      </c>
      <c r="B373" s="701"/>
      <c r="C373" s="701"/>
      <c r="D373" s="701"/>
      <c r="E373" s="702"/>
      <c r="F373" s="703" t="s">
        <v>539</v>
      </c>
      <c r="G373" s="704">
        <f>+G374+G380+G382</f>
        <v>380620</v>
      </c>
    </row>
    <row r="374" spans="1:7" ht="15.75">
      <c r="A374" s="705">
        <v>4</v>
      </c>
      <c r="B374" s="706">
        <v>1</v>
      </c>
      <c r="C374" s="706"/>
      <c r="D374" s="706"/>
      <c r="E374" s="707"/>
      <c r="F374" s="708" t="s">
        <v>664</v>
      </c>
      <c r="G374" s="709">
        <f>+G375+G378+G379</f>
        <v>380620</v>
      </c>
    </row>
    <row r="375" spans="1:7" ht="15.75">
      <c r="A375" s="705">
        <v>4</v>
      </c>
      <c r="B375" s="706">
        <v>1</v>
      </c>
      <c r="C375" s="706">
        <v>1</v>
      </c>
      <c r="D375" s="706"/>
      <c r="E375" s="707"/>
      <c r="F375" s="708" t="s">
        <v>644</v>
      </c>
      <c r="G375" s="709">
        <f>+G376+G377</f>
        <v>264110</v>
      </c>
    </row>
    <row r="376" spans="1:7" ht="15.75">
      <c r="A376" s="705">
        <v>4</v>
      </c>
      <c r="B376" s="706">
        <v>1</v>
      </c>
      <c r="C376" s="706">
        <v>1</v>
      </c>
      <c r="D376" s="706">
        <v>1</v>
      </c>
      <c r="E376" s="707"/>
      <c r="F376" s="708" t="s">
        <v>665</v>
      </c>
      <c r="G376" s="709">
        <f>+ANEXO5!C$597</f>
        <v>190460</v>
      </c>
    </row>
    <row r="377" spans="1:7" ht="15.75">
      <c r="A377" s="705">
        <v>4</v>
      </c>
      <c r="B377" s="706">
        <v>1</v>
      </c>
      <c r="C377" s="706">
        <v>1</v>
      </c>
      <c r="D377" s="706">
        <v>2</v>
      </c>
      <c r="E377" s="707"/>
      <c r="F377" s="708" t="s">
        <v>682</v>
      </c>
      <c r="G377" s="709">
        <f>+ANEXO5!C$616</f>
        <v>73650</v>
      </c>
    </row>
    <row r="378" spans="1:7" ht="15.75">
      <c r="A378" s="705">
        <v>4</v>
      </c>
      <c r="B378" s="706">
        <v>1</v>
      </c>
      <c r="C378" s="706">
        <v>2</v>
      </c>
      <c r="D378" s="706"/>
      <c r="E378" s="707"/>
      <c r="F378" s="708" t="s">
        <v>645</v>
      </c>
      <c r="G378" s="709">
        <f>+ANEXO5!C$645</f>
        <v>11510</v>
      </c>
    </row>
    <row r="379" spans="1:7" ht="15.75">
      <c r="A379" s="705">
        <v>4</v>
      </c>
      <c r="B379" s="706">
        <v>1</v>
      </c>
      <c r="C379" s="706">
        <v>3</v>
      </c>
      <c r="D379" s="706"/>
      <c r="E379" s="707"/>
      <c r="F379" s="708" t="s">
        <v>646</v>
      </c>
      <c r="G379" s="709">
        <f>+ANEXO5!C$672</f>
        <v>105000</v>
      </c>
    </row>
    <row r="380" spans="1:7" ht="15.75">
      <c r="A380" s="705">
        <v>4</v>
      </c>
      <c r="B380" s="706">
        <v>2</v>
      </c>
      <c r="C380" s="706"/>
      <c r="D380" s="706"/>
      <c r="E380" s="707"/>
      <c r="F380" s="708" t="s">
        <v>683</v>
      </c>
      <c r="G380" s="709">
        <f>+G381</f>
        <v>0</v>
      </c>
    </row>
    <row r="381" spans="1:7" ht="15.75">
      <c r="A381" s="705">
        <v>4</v>
      </c>
      <c r="B381" s="706">
        <v>2</v>
      </c>
      <c r="C381" s="706">
        <v>1</v>
      </c>
      <c r="D381" s="706"/>
      <c r="E381" s="707"/>
      <c r="F381" s="708" t="s">
        <v>684</v>
      </c>
      <c r="G381" s="710"/>
    </row>
    <row r="382" spans="1:7" ht="15.75">
      <c r="A382" s="705">
        <v>4</v>
      </c>
      <c r="B382" s="706">
        <v>3</v>
      </c>
      <c r="C382" s="706"/>
      <c r="D382" s="706"/>
      <c r="E382" s="707"/>
      <c r="F382" s="708" t="s">
        <v>685</v>
      </c>
      <c r="G382" s="709">
        <f>+G383</f>
        <v>0</v>
      </c>
    </row>
    <row r="383" spans="1:7" ht="15.75">
      <c r="A383" s="705">
        <v>4</v>
      </c>
      <c r="B383" s="706">
        <v>3</v>
      </c>
      <c r="C383" s="706">
        <v>1</v>
      </c>
      <c r="D383" s="706"/>
      <c r="E383" s="707"/>
      <c r="F383" s="708" t="s">
        <v>648</v>
      </c>
      <c r="G383" s="710"/>
    </row>
    <row r="384" spans="1:7" ht="15.75">
      <c r="A384" s="711">
        <v>5</v>
      </c>
      <c r="B384" s="706"/>
      <c r="C384" s="706"/>
      <c r="D384" s="706"/>
      <c r="E384" s="707"/>
      <c r="F384" s="708" t="s">
        <v>548</v>
      </c>
      <c r="G384" s="709">
        <f>+G385+G388+G389</f>
        <v>194930</v>
      </c>
    </row>
    <row r="385" spans="1:7" ht="15.75">
      <c r="A385" s="705">
        <v>5</v>
      </c>
      <c r="B385" s="706">
        <v>1</v>
      </c>
      <c r="C385" s="706"/>
      <c r="D385" s="706"/>
      <c r="E385" s="707"/>
      <c r="F385" s="708" t="s">
        <v>686</v>
      </c>
      <c r="G385" s="709">
        <f>+G386+G387</f>
        <v>194930</v>
      </c>
    </row>
    <row r="386" spans="1:7" ht="15.75">
      <c r="A386" s="705">
        <v>5</v>
      </c>
      <c r="B386" s="706">
        <v>1</v>
      </c>
      <c r="C386" s="706">
        <v>1</v>
      </c>
      <c r="D386" s="706"/>
      <c r="E386" s="707"/>
      <c r="F386" s="708" t="s">
        <v>649</v>
      </c>
      <c r="G386" s="710">
        <f>+ANEXO5!C$688</f>
        <v>194930</v>
      </c>
    </row>
    <row r="387" spans="1:7" ht="15.75">
      <c r="A387" s="705">
        <v>5</v>
      </c>
      <c r="B387" s="706">
        <v>1</v>
      </c>
      <c r="C387" s="706">
        <v>2</v>
      </c>
      <c r="D387" s="706"/>
      <c r="E387" s="706"/>
      <c r="F387" s="708" t="s">
        <v>650</v>
      </c>
      <c r="G387" s="710"/>
    </row>
    <row r="388" spans="1:7" ht="15.75">
      <c r="A388" s="705">
        <v>5</v>
      </c>
      <c r="B388" s="706">
        <v>2</v>
      </c>
      <c r="C388" s="706"/>
      <c r="D388" s="706"/>
      <c r="E388" s="706"/>
      <c r="F388" s="708" t="s">
        <v>687</v>
      </c>
      <c r="G388" s="709">
        <v>0</v>
      </c>
    </row>
    <row r="389" spans="1:7" ht="15.75">
      <c r="A389" s="705">
        <v>5</v>
      </c>
      <c r="B389" s="706">
        <v>3</v>
      </c>
      <c r="C389" s="706"/>
      <c r="D389" s="706"/>
      <c r="E389" s="706"/>
      <c r="F389" s="708" t="s">
        <v>688</v>
      </c>
      <c r="G389" s="709">
        <f>+G390</f>
        <v>0</v>
      </c>
    </row>
    <row r="390" spans="1:7" ht="15.75">
      <c r="A390" s="705">
        <v>5</v>
      </c>
      <c r="B390" s="706">
        <v>3</v>
      </c>
      <c r="C390" s="706">
        <v>1</v>
      </c>
      <c r="D390" s="706"/>
      <c r="E390" s="706"/>
      <c r="F390" s="708" t="s">
        <v>651</v>
      </c>
      <c r="G390" s="710"/>
    </row>
    <row r="391" spans="1:7" ht="15.75">
      <c r="A391" s="711">
        <v>6</v>
      </c>
      <c r="B391" s="706"/>
      <c r="C391" s="706"/>
      <c r="D391" s="706"/>
      <c r="E391" s="706"/>
      <c r="F391" s="708" t="s">
        <v>553</v>
      </c>
      <c r="G391" s="709">
        <f>+G392</f>
        <v>0</v>
      </c>
    </row>
    <row r="392" spans="1:7" ht="15.75">
      <c r="A392" s="705">
        <v>6</v>
      </c>
      <c r="B392" s="706">
        <v>1</v>
      </c>
      <c r="C392" s="706"/>
      <c r="D392" s="706"/>
      <c r="E392" s="706"/>
      <c r="F392" s="708" t="s">
        <v>689</v>
      </c>
      <c r="G392" s="709">
        <f>+G393</f>
        <v>0</v>
      </c>
    </row>
    <row r="393" spans="1:7" ht="16.5" thickBot="1">
      <c r="A393" s="712">
        <v>6</v>
      </c>
      <c r="B393" s="713">
        <v>1</v>
      </c>
      <c r="C393" s="713">
        <v>1</v>
      </c>
      <c r="D393" s="713"/>
      <c r="E393" s="713"/>
      <c r="F393" s="714" t="s">
        <v>652</v>
      </c>
      <c r="G393" s="715"/>
    </row>
    <row r="394" spans="1:7" ht="16.5" thickBot="1">
      <c r="A394" s="544"/>
      <c r="B394" s="544"/>
      <c r="C394" s="544"/>
      <c r="D394" s="544"/>
      <c r="E394" s="544"/>
      <c r="F394" s="699" t="s">
        <v>690</v>
      </c>
      <c r="G394" s="716">
        <f>+G373+G384+G391</f>
        <v>575550</v>
      </c>
    </row>
    <row r="395" spans="1:7" ht="15">
      <c r="A395" s="544"/>
      <c r="B395" s="544"/>
      <c r="C395" s="544"/>
      <c r="D395" s="544"/>
      <c r="E395" s="544"/>
      <c r="F395" s="544"/>
      <c r="G395" s="544"/>
    </row>
    <row r="396" spans="1:7" s="85" customFormat="1" ht="15.75">
      <c r="A396" s="720" t="str">
        <f>+A368</f>
        <v> </v>
      </c>
      <c r="B396" s="720"/>
      <c r="C396" s="720"/>
      <c r="D396" s="720"/>
      <c r="E396" s="720"/>
      <c r="F396" s="721" t="s">
        <v>366</v>
      </c>
      <c r="G396" s="720"/>
    </row>
    <row r="397" spans="1:7" s="85" customFormat="1" ht="15.75">
      <c r="A397" s="783" t="str">
        <f>+A369</f>
        <v>PRESUPUESTO AÑO 2008</v>
      </c>
      <c r="B397" s="784"/>
      <c r="C397" s="784"/>
      <c r="D397" s="784"/>
      <c r="E397" s="784"/>
      <c r="F397" s="784"/>
      <c r="G397" s="784"/>
    </row>
    <row r="398" spans="1:7" ht="16.5" thickBot="1">
      <c r="A398" s="69" t="s">
        <v>411</v>
      </c>
      <c r="B398" s="544"/>
      <c r="C398" s="544"/>
      <c r="D398" s="544"/>
      <c r="E398" s="544"/>
      <c r="F398" s="544"/>
      <c r="G398" s="76">
        <v>462</v>
      </c>
    </row>
    <row r="399" spans="1:7" ht="16.5" thickBot="1">
      <c r="A399" s="785" t="s">
        <v>621</v>
      </c>
      <c r="B399" s="786"/>
      <c r="C399" s="786"/>
      <c r="D399" s="786"/>
      <c r="E399" s="786"/>
      <c r="F399" s="698" t="s">
        <v>657</v>
      </c>
      <c r="G399" s="698" t="s">
        <v>658</v>
      </c>
    </row>
    <row r="400" spans="1:7" ht="16.5" thickBot="1">
      <c r="A400" s="362" t="s">
        <v>659</v>
      </c>
      <c r="B400" s="362" t="s">
        <v>660</v>
      </c>
      <c r="C400" s="362" t="s">
        <v>661</v>
      </c>
      <c r="D400" s="362" t="s">
        <v>625</v>
      </c>
      <c r="E400" s="691" t="s">
        <v>662</v>
      </c>
      <c r="F400" s="699" t="s">
        <v>663</v>
      </c>
      <c r="G400" s="699"/>
    </row>
    <row r="401" spans="1:7" ht="15.75">
      <c r="A401" s="700">
        <v>4</v>
      </c>
      <c r="B401" s="701"/>
      <c r="C401" s="701"/>
      <c r="D401" s="701"/>
      <c r="E401" s="702"/>
      <c r="F401" s="703" t="s">
        <v>539</v>
      </c>
      <c r="G401" s="704">
        <f>+G402+G408+G410</f>
        <v>9473120</v>
      </c>
    </row>
    <row r="402" spans="1:7" ht="15.75">
      <c r="A402" s="705">
        <v>4</v>
      </c>
      <c r="B402" s="706">
        <v>1</v>
      </c>
      <c r="C402" s="706"/>
      <c r="D402" s="706"/>
      <c r="E402" s="707"/>
      <c r="F402" s="708" t="s">
        <v>664</v>
      </c>
      <c r="G402" s="709">
        <f>+G403+G406+G407</f>
        <v>9473120</v>
      </c>
    </row>
    <row r="403" spans="1:7" ht="15.75">
      <c r="A403" s="705">
        <v>4</v>
      </c>
      <c r="B403" s="706">
        <v>1</v>
      </c>
      <c r="C403" s="706">
        <v>1</v>
      </c>
      <c r="D403" s="706"/>
      <c r="E403" s="707"/>
      <c r="F403" s="708" t="s">
        <v>644</v>
      </c>
      <c r="G403" s="709">
        <f>+G404+G405</f>
        <v>5462840</v>
      </c>
    </row>
    <row r="404" spans="1:7" ht="15.75">
      <c r="A404" s="705">
        <v>4</v>
      </c>
      <c r="B404" s="706">
        <v>1</v>
      </c>
      <c r="C404" s="706">
        <v>1</v>
      </c>
      <c r="D404" s="706">
        <v>1</v>
      </c>
      <c r="E404" s="707"/>
      <c r="F404" s="708" t="s">
        <v>665</v>
      </c>
      <c r="G404" s="709">
        <f>+ANEXO5!D$597</f>
        <v>3770680</v>
      </c>
    </row>
    <row r="405" spans="1:7" ht="15.75">
      <c r="A405" s="705">
        <v>4</v>
      </c>
      <c r="B405" s="706">
        <v>1</v>
      </c>
      <c r="C405" s="706">
        <v>1</v>
      </c>
      <c r="D405" s="706">
        <v>2</v>
      </c>
      <c r="E405" s="707"/>
      <c r="F405" s="708" t="s">
        <v>682</v>
      </c>
      <c r="G405" s="709">
        <f>+ANEXO5!D$616</f>
        <v>1692160</v>
      </c>
    </row>
    <row r="406" spans="1:7" ht="15.75">
      <c r="A406" s="705">
        <v>4</v>
      </c>
      <c r="B406" s="706">
        <v>1</v>
      </c>
      <c r="C406" s="706">
        <v>2</v>
      </c>
      <c r="D406" s="706"/>
      <c r="E406" s="707"/>
      <c r="F406" s="708" t="s">
        <v>645</v>
      </c>
      <c r="G406" s="709">
        <f>+ANEXO5!D$645</f>
        <v>48000</v>
      </c>
    </row>
    <row r="407" spans="1:8" ht="15.75">
      <c r="A407" s="705">
        <v>4</v>
      </c>
      <c r="B407" s="706">
        <v>1</v>
      </c>
      <c r="C407" s="706">
        <v>3</v>
      </c>
      <c r="D407" s="706"/>
      <c r="E407" s="707"/>
      <c r="F407" s="708" t="s">
        <v>646</v>
      </c>
      <c r="G407" s="709">
        <f>+ANEXO5!D$672</f>
        <v>3962280</v>
      </c>
      <c r="H407" s="1"/>
    </row>
    <row r="408" spans="1:7" ht="15.75">
      <c r="A408" s="705">
        <v>4</v>
      </c>
      <c r="B408" s="706">
        <v>2</v>
      </c>
      <c r="C408" s="706"/>
      <c r="D408" s="706"/>
      <c r="E408" s="707"/>
      <c r="F408" s="708" t="s">
        <v>683</v>
      </c>
      <c r="G408" s="709">
        <f>+G409</f>
        <v>0</v>
      </c>
    </row>
    <row r="409" spans="1:7" ht="15.75">
      <c r="A409" s="705">
        <v>4</v>
      </c>
      <c r="B409" s="706">
        <v>2</v>
      </c>
      <c r="C409" s="706">
        <v>1</v>
      </c>
      <c r="D409" s="706"/>
      <c r="E409" s="707"/>
      <c r="F409" s="708" t="s">
        <v>684</v>
      </c>
      <c r="G409" s="710"/>
    </row>
    <row r="410" spans="1:7" ht="15.75">
      <c r="A410" s="705">
        <v>4</v>
      </c>
      <c r="B410" s="706">
        <v>3</v>
      </c>
      <c r="C410" s="706"/>
      <c r="D410" s="706"/>
      <c r="E410" s="707"/>
      <c r="F410" s="708" t="s">
        <v>685</v>
      </c>
      <c r="G410" s="709">
        <f>+G411</f>
        <v>0</v>
      </c>
    </row>
    <row r="411" spans="1:7" ht="15.75">
      <c r="A411" s="705">
        <v>4</v>
      </c>
      <c r="B411" s="706">
        <v>3</v>
      </c>
      <c r="C411" s="706">
        <v>1</v>
      </c>
      <c r="D411" s="706"/>
      <c r="E411" s="707"/>
      <c r="F411" s="708" t="s">
        <v>648</v>
      </c>
      <c r="G411" s="710"/>
    </row>
    <row r="412" spans="1:7" ht="15.75">
      <c r="A412" s="711">
        <v>5</v>
      </c>
      <c r="B412" s="706"/>
      <c r="C412" s="706"/>
      <c r="D412" s="706"/>
      <c r="E412" s="707"/>
      <c r="F412" s="708" t="s">
        <v>548</v>
      </c>
      <c r="G412" s="709">
        <f>+G413+G416+G417</f>
        <v>0</v>
      </c>
    </row>
    <row r="413" spans="1:7" ht="15.75">
      <c r="A413" s="705">
        <v>5</v>
      </c>
      <c r="B413" s="706">
        <v>1</v>
      </c>
      <c r="C413" s="706"/>
      <c r="D413" s="706"/>
      <c r="E413" s="707"/>
      <c r="F413" s="708" t="s">
        <v>686</v>
      </c>
      <c r="G413" s="709">
        <f>+G414+G415</f>
        <v>0</v>
      </c>
    </row>
    <row r="414" spans="1:7" ht="15.75">
      <c r="A414" s="705">
        <v>5</v>
      </c>
      <c r="B414" s="706">
        <v>1</v>
      </c>
      <c r="C414" s="706">
        <v>1</v>
      </c>
      <c r="D414" s="706"/>
      <c r="E414" s="707"/>
      <c r="F414" s="708" t="s">
        <v>649</v>
      </c>
      <c r="G414" s="710">
        <f>+ANEXO5!D$688</f>
        <v>0</v>
      </c>
    </row>
    <row r="415" spans="1:7" ht="15.75">
      <c r="A415" s="705">
        <v>5</v>
      </c>
      <c r="B415" s="706">
        <v>1</v>
      </c>
      <c r="C415" s="706">
        <v>2</v>
      </c>
      <c r="D415" s="706"/>
      <c r="E415" s="706"/>
      <c r="F415" s="708" t="s">
        <v>650</v>
      </c>
      <c r="G415" s="710"/>
    </row>
    <row r="416" spans="1:7" ht="15.75">
      <c r="A416" s="705">
        <v>5</v>
      </c>
      <c r="B416" s="706">
        <v>2</v>
      </c>
      <c r="C416" s="706"/>
      <c r="D416" s="706"/>
      <c r="E416" s="706"/>
      <c r="F416" s="708" t="s">
        <v>687</v>
      </c>
      <c r="G416" s="709">
        <v>0</v>
      </c>
    </row>
    <row r="417" spans="1:7" ht="15.75">
      <c r="A417" s="705">
        <v>5</v>
      </c>
      <c r="B417" s="706">
        <v>3</v>
      </c>
      <c r="C417" s="706"/>
      <c r="D417" s="706"/>
      <c r="E417" s="706"/>
      <c r="F417" s="708" t="s">
        <v>688</v>
      </c>
      <c r="G417" s="709">
        <f>+G418</f>
        <v>0</v>
      </c>
    </row>
    <row r="418" spans="1:7" ht="15.75">
      <c r="A418" s="705">
        <v>5</v>
      </c>
      <c r="B418" s="706">
        <v>3</v>
      </c>
      <c r="C418" s="706">
        <v>1</v>
      </c>
      <c r="D418" s="706"/>
      <c r="E418" s="706"/>
      <c r="F418" s="708" t="s">
        <v>651</v>
      </c>
      <c r="G418" s="710"/>
    </row>
    <row r="419" spans="1:7" ht="15.75">
      <c r="A419" s="711">
        <v>6</v>
      </c>
      <c r="B419" s="706"/>
      <c r="C419" s="706"/>
      <c r="D419" s="706"/>
      <c r="E419" s="706"/>
      <c r="F419" s="708" t="s">
        <v>553</v>
      </c>
      <c r="G419" s="709">
        <f>+G420</f>
        <v>0</v>
      </c>
    </row>
    <row r="420" spans="1:7" ht="15.75">
      <c r="A420" s="705">
        <v>6</v>
      </c>
      <c r="B420" s="706">
        <v>1</v>
      </c>
      <c r="C420" s="706"/>
      <c r="D420" s="706"/>
      <c r="E420" s="706"/>
      <c r="F420" s="708" t="s">
        <v>689</v>
      </c>
      <c r="G420" s="709">
        <f>+G421</f>
        <v>0</v>
      </c>
    </row>
    <row r="421" spans="1:7" ht="16.5" thickBot="1">
      <c r="A421" s="712">
        <v>6</v>
      </c>
      <c r="B421" s="713">
        <v>1</v>
      </c>
      <c r="C421" s="713">
        <v>1</v>
      </c>
      <c r="D421" s="713"/>
      <c r="E421" s="713"/>
      <c r="F421" s="714" t="s">
        <v>652</v>
      </c>
      <c r="G421" s="715"/>
    </row>
    <row r="422" spans="1:7" ht="16.5" thickBot="1">
      <c r="A422" s="544"/>
      <c r="B422" s="544"/>
      <c r="C422" s="544"/>
      <c r="D422" s="544"/>
      <c r="E422" s="544"/>
      <c r="F422" s="699" t="s">
        <v>690</v>
      </c>
      <c r="G422" s="716">
        <f>+G401+G412+G419</f>
        <v>9473120</v>
      </c>
    </row>
    <row r="423" spans="1:7" ht="15">
      <c r="A423" s="544"/>
      <c r="B423" s="544"/>
      <c r="C423" s="544"/>
      <c r="D423" s="544"/>
      <c r="E423" s="544"/>
      <c r="F423" s="544"/>
      <c r="G423" s="735"/>
    </row>
    <row r="424" spans="1:7" ht="15.75">
      <c r="A424" s="720" t="str">
        <f>+A368</f>
        <v> </v>
      </c>
      <c r="B424" s="720"/>
      <c r="C424" s="720"/>
      <c r="D424" s="720"/>
      <c r="E424" s="720"/>
      <c r="F424" s="721" t="s">
        <v>365</v>
      </c>
      <c r="G424" s="720"/>
    </row>
    <row r="425" spans="1:7" ht="15.75">
      <c r="A425" s="783" t="str">
        <f>+A397</f>
        <v>PRESUPUESTO AÑO 2008</v>
      </c>
      <c r="B425" s="784"/>
      <c r="C425" s="784"/>
      <c r="D425" s="784"/>
      <c r="E425" s="784"/>
      <c r="F425" s="784"/>
      <c r="G425" s="784"/>
    </row>
    <row r="426" spans="1:7" ht="16.5" thickBot="1">
      <c r="A426" s="69" t="s">
        <v>412</v>
      </c>
      <c r="B426" s="544"/>
      <c r="C426" s="544"/>
      <c r="D426" s="544"/>
      <c r="E426" s="544"/>
      <c r="F426" s="544"/>
      <c r="G426" s="76">
        <v>463</v>
      </c>
    </row>
    <row r="427" spans="1:7" ht="16.5" thickBot="1">
      <c r="A427" s="785" t="s">
        <v>621</v>
      </c>
      <c r="B427" s="786"/>
      <c r="C427" s="786"/>
      <c r="D427" s="786"/>
      <c r="E427" s="786"/>
      <c r="F427" s="698" t="s">
        <v>657</v>
      </c>
      <c r="G427" s="698" t="s">
        <v>658</v>
      </c>
    </row>
    <row r="428" spans="1:7" ht="16.5" thickBot="1">
      <c r="A428" s="362" t="s">
        <v>659</v>
      </c>
      <c r="B428" s="362" t="s">
        <v>660</v>
      </c>
      <c r="C428" s="362" t="s">
        <v>661</v>
      </c>
      <c r="D428" s="362" t="s">
        <v>625</v>
      </c>
      <c r="E428" s="691" t="s">
        <v>662</v>
      </c>
      <c r="F428" s="699" t="s">
        <v>663</v>
      </c>
      <c r="G428" s="699"/>
    </row>
    <row r="429" spans="1:7" ht="15.75">
      <c r="A429" s="700">
        <v>4</v>
      </c>
      <c r="B429" s="701"/>
      <c r="C429" s="701"/>
      <c r="D429" s="701"/>
      <c r="E429" s="702"/>
      <c r="F429" s="703" t="s">
        <v>539</v>
      </c>
      <c r="G429" s="704">
        <f>+G430+G436+G438</f>
        <v>9668230</v>
      </c>
    </row>
    <row r="430" spans="1:7" ht="15.75">
      <c r="A430" s="705">
        <v>4</v>
      </c>
      <c r="B430" s="706">
        <v>1</v>
      </c>
      <c r="C430" s="706"/>
      <c r="D430" s="706"/>
      <c r="E430" s="707"/>
      <c r="F430" s="708" t="s">
        <v>664</v>
      </c>
      <c r="G430" s="709">
        <f>+G431+G434+G435</f>
        <v>9668230</v>
      </c>
    </row>
    <row r="431" spans="1:7" ht="15.75">
      <c r="A431" s="705">
        <v>4</v>
      </c>
      <c r="B431" s="706">
        <v>1</v>
      </c>
      <c r="C431" s="706">
        <v>1</v>
      </c>
      <c r="D431" s="706"/>
      <c r="E431" s="707"/>
      <c r="F431" s="708" t="s">
        <v>644</v>
      </c>
      <c r="G431" s="709">
        <f>+G432+G433</f>
        <v>5607290</v>
      </c>
    </row>
    <row r="432" spans="1:7" ht="15.75">
      <c r="A432" s="705">
        <v>4</v>
      </c>
      <c r="B432" s="706">
        <v>1</v>
      </c>
      <c r="C432" s="706">
        <v>1</v>
      </c>
      <c r="D432" s="706">
        <v>1</v>
      </c>
      <c r="E432" s="707"/>
      <c r="F432" s="708" t="s">
        <v>665</v>
      </c>
      <c r="G432" s="709">
        <f>+ANEXO5!E$597</f>
        <v>5380110</v>
      </c>
    </row>
    <row r="433" spans="1:7" ht="15.75">
      <c r="A433" s="705">
        <v>4</v>
      </c>
      <c r="B433" s="706">
        <v>1</v>
      </c>
      <c r="C433" s="706">
        <v>1</v>
      </c>
      <c r="D433" s="706">
        <v>2</v>
      </c>
      <c r="E433" s="707"/>
      <c r="F433" s="708" t="s">
        <v>682</v>
      </c>
      <c r="G433" s="709">
        <f>+ANEXO5!E$616</f>
        <v>227180</v>
      </c>
    </row>
    <row r="434" spans="1:7" ht="15.75">
      <c r="A434" s="705">
        <v>4</v>
      </c>
      <c r="B434" s="706">
        <v>1</v>
      </c>
      <c r="C434" s="706">
        <v>2</v>
      </c>
      <c r="D434" s="706"/>
      <c r="E434" s="707"/>
      <c r="F434" s="708" t="s">
        <v>645</v>
      </c>
      <c r="G434" s="709">
        <f>+ANEXO5!E$645</f>
        <v>98660</v>
      </c>
    </row>
    <row r="435" spans="1:8" ht="15.75">
      <c r="A435" s="705">
        <v>4</v>
      </c>
      <c r="B435" s="706">
        <v>1</v>
      </c>
      <c r="C435" s="706">
        <v>3</v>
      </c>
      <c r="D435" s="706"/>
      <c r="E435" s="707"/>
      <c r="F435" s="708" t="s">
        <v>646</v>
      </c>
      <c r="G435" s="709">
        <f>+ANEXO5!E$672</f>
        <v>3962280</v>
      </c>
      <c r="H435" s="1"/>
    </row>
    <row r="436" spans="1:7" ht="15.75">
      <c r="A436" s="705">
        <v>4</v>
      </c>
      <c r="B436" s="706">
        <v>2</v>
      </c>
      <c r="C436" s="706"/>
      <c r="D436" s="706"/>
      <c r="E436" s="707"/>
      <c r="F436" s="708" t="s">
        <v>683</v>
      </c>
      <c r="G436" s="709">
        <f>+G437</f>
        <v>0</v>
      </c>
    </row>
    <row r="437" spans="1:7" ht="15.75">
      <c r="A437" s="705">
        <v>4</v>
      </c>
      <c r="B437" s="706">
        <v>2</v>
      </c>
      <c r="C437" s="706">
        <v>1</v>
      </c>
      <c r="D437" s="706"/>
      <c r="E437" s="707"/>
      <c r="F437" s="708" t="s">
        <v>684</v>
      </c>
      <c r="G437" s="710"/>
    </row>
    <row r="438" spans="1:7" ht="15.75">
      <c r="A438" s="705">
        <v>4</v>
      </c>
      <c r="B438" s="706">
        <v>3</v>
      </c>
      <c r="C438" s="706"/>
      <c r="D438" s="706"/>
      <c r="E438" s="707"/>
      <c r="F438" s="708" t="s">
        <v>685</v>
      </c>
      <c r="G438" s="709">
        <f>+G439</f>
        <v>0</v>
      </c>
    </row>
    <row r="439" spans="1:7" ht="15.75">
      <c r="A439" s="705">
        <v>4</v>
      </c>
      <c r="B439" s="706">
        <v>3</v>
      </c>
      <c r="C439" s="706">
        <v>1</v>
      </c>
      <c r="D439" s="706"/>
      <c r="E439" s="707"/>
      <c r="F439" s="708" t="s">
        <v>648</v>
      </c>
      <c r="G439" s="710"/>
    </row>
    <row r="440" spans="1:7" ht="15.75">
      <c r="A440" s="711">
        <v>5</v>
      </c>
      <c r="B440" s="706"/>
      <c r="C440" s="706"/>
      <c r="D440" s="706"/>
      <c r="E440" s="707"/>
      <c r="F440" s="708" t="s">
        <v>548</v>
      </c>
      <c r="G440" s="709">
        <f>+G441+G444+G445</f>
        <v>604610</v>
      </c>
    </row>
    <row r="441" spans="1:7" ht="15.75">
      <c r="A441" s="705">
        <v>5</v>
      </c>
      <c r="B441" s="706">
        <v>1</v>
      </c>
      <c r="C441" s="706"/>
      <c r="D441" s="706"/>
      <c r="E441" s="707"/>
      <c r="F441" s="708" t="s">
        <v>686</v>
      </c>
      <c r="G441" s="709">
        <f>+G442+G443</f>
        <v>604610</v>
      </c>
    </row>
    <row r="442" spans="1:7" ht="15.75">
      <c r="A442" s="705">
        <v>5</v>
      </c>
      <c r="B442" s="706">
        <v>1</v>
      </c>
      <c r="C442" s="706">
        <v>1</v>
      </c>
      <c r="D442" s="706"/>
      <c r="E442" s="707"/>
      <c r="F442" s="708" t="s">
        <v>649</v>
      </c>
      <c r="G442" s="710">
        <f>+ANEXO5!E$688</f>
        <v>604610</v>
      </c>
    </row>
    <row r="443" spans="1:7" ht="15.75">
      <c r="A443" s="705">
        <v>5</v>
      </c>
      <c r="B443" s="706">
        <v>1</v>
      </c>
      <c r="C443" s="706">
        <v>2</v>
      </c>
      <c r="D443" s="706"/>
      <c r="E443" s="706"/>
      <c r="F443" s="708" t="s">
        <v>650</v>
      </c>
      <c r="G443" s="710"/>
    </row>
    <row r="444" spans="1:7" ht="15.75">
      <c r="A444" s="705">
        <v>5</v>
      </c>
      <c r="B444" s="706">
        <v>2</v>
      </c>
      <c r="C444" s="706"/>
      <c r="D444" s="706"/>
      <c r="E444" s="706"/>
      <c r="F444" s="708" t="s">
        <v>687</v>
      </c>
      <c r="G444" s="709">
        <v>0</v>
      </c>
    </row>
    <row r="445" spans="1:7" ht="15.75">
      <c r="A445" s="705">
        <v>5</v>
      </c>
      <c r="B445" s="706">
        <v>3</v>
      </c>
      <c r="C445" s="706"/>
      <c r="D445" s="706"/>
      <c r="E445" s="706"/>
      <c r="F445" s="708" t="s">
        <v>688</v>
      </c>
      <c r="G445" s="709">
        <f>+G446</f>
        <v>0</v>
      </c>
    </row>
    <row r="446" spans="1:7" ht="15.75">
      <c r="A446" s="705">
        <v>5</v>
      </c>
      <c r="B446" s="706">
        <v>3</v>
      </c>
      <c r="C446" s="706">
        <v>1</v>
      </c>
      <c r="D446" s="706"/>
      <c r="E446" s="706"/>
      <c r="F446" s="708" t="s">
        <v>651</v>
      </c>
      <c r="G446" s="710"/>
    </row>
    <row r="447" spans="1:7" ht="15.75">
      <c r="A447" s="711">
        <v>6</v>
      </c>
      <c r="B447" s="706"/>
      <c r="C447" s="706"/>
      <c r="D447" s="706"/>
      <c r="E447" s="706"/>
      <c r="F447" s="708" t="s">
        <v>553</v>
      </c>
      <c r="G447" s="709">
        <f>+G448</f>
        <v>0</v>
      </c>
    </row>
    <row r="448" spans="1:7" ht="15.75">
      <c r="A448" s="705">
        <v>6</v>
      </c>
      <c r="B448" s="706">
        <v>1</v>
      </c>
      <c r="C448" s="706"/>
      <c r="D448" s="706"/>
      <c r="E448" s="706"/>
      <c r="F448" s="708" t="s">
        <v>689</v>
      </c>
      <c r="G448" s="709">
        <f>+G449</f>
        <v>0</v>
      </c>
    </row>
    <row r="449" spans="1:7" ht="16.5" thickBot="1">
      <c r="A449" s="712">
        <v>6</v>
      </c>
      <c r="B449" s="713">
        <v>1</v>
      </c>
      <c r="C449" s="713">
        <v>1</v>
      </c>
      <c r="D449" s="713"/>
      <c r="E449" s="713"/>
      <c r="F449" s="714" t="s">
        <v>652</v>
      </c>
      <c r="G449" s="715"/>
    </row>
    <row r="450" spans="1:7" ht="16.5" thickBot="1">
      <c r="A450" s="544"/>
      <c r="B450" s="544"/>
      <c r="C450" s="544"/>
      <c r="D450" s="544"/>
      <c r="E450" s="544"/>
      <c r="F450" s="699" t="s">
        <v>690</v>
      </c>
      <c r="G450" s="716">
        <f>+G429+G440+G447</f>
        <v>10272840</v>
      </c>
    </row>
    <row r="451" spans="1:7" ht="15">
      <c r="A451" s="544"/>
      <c r="B451" s="544"/>
      <c r="C451" s="544"/>
      <c r="D451" s="544"/>
      <c r="E451" s="544"/>
      <c r="F451" s="544"/>
      <c r="G451" s="735"/>
    </row>
    <row r="452" spans="1:7" ht="15.75">
      <c r="A452" s="719"/>
      <c r="B452" s="544"/>
      <c r="C452" s="544"/>
      <c r="D452" s="544"/>
      <c r="E452" s="544"/>
      <c r="F452" s="69" t="s">
        <v>1140</v>
      </c>
      <c r="G452" s="544"/>
    </row>
    <row r="453" spans="1:7" ht="15.75">
      <c r="A453" s="783" t="str">
        <f>+'Gob juris'!A172</f>
        <v>PRESUPUESTO AÑO 2008</v>
      </c>
      <c r="B453" s="784"/>
      <c r="C453" s="784"/>
      <c r="D453" s="784"/>
      <c r="E453" s="784"/>
      <c r="F453" s="784"/>
      <c r="G453" s="784"/>
    </row>
    <row r="454" spans="1:7" ht="16.5" thickBot="1">
      <c r="A454" s="69" t="s">
        <v>421</v>
      </c>
      <c r="B454" s="544"/>
      <c r="C454" s="544"/>
      <c r="D454" s="544"/>
      <c r="E454" s="544"/>
      <c r="F454" s="544"/>
      <c r="G454" s="76" t="s">
        <v>104</v>
      </c>
    </row>
    <row r="455" spans="1:7" ht="16.5" thickBot="1">
      <c r="A455" s="785" t="s">
        <v>621</v>
      </c>
      <c r="B455" s="786"/>
      <c r="C455" s="786"/>
      <c r="D455" s="786"/>
      <c r="E455" s="786"/>
      <c r="F455" s="698" t="s">
        <v>657</v>
      </c>
      <c r="G455" s="698" t="s">
        <v>658</v>
      </c>
    </row>
    <row r="456" spans="1:7" ht="16.5" thickBot="1">
      <c r="A456" s="362" t="s">
        <v>659</v>
      </c>
      <c r="B456" s="362" t="s">
        <v>660</v>
      </c>
      <c r="C456" s="362" t="s">
        <v>661</v>
      </c>
      <c r="D456" s="362" t="s">
        <v>625</v>
      </c>
      <c r="E456" s="691" t="s">
        <v>662</v>
      </c>
      <c r="F456" s="699" t="s">
        <v>663</v>
      </c>
      <c r="G456" s="699"/>
    </row>
    <row r="457" spans="1:7" ht="15.75">
      <c r="A457" s="700">
        <v>4</v>
      </c>
      <c r="B457" s="701"/>
      <c r="C457" s="701"/>
      <c r="D457" s="701"/>
      <c r="E457" s="702"/>
      <c r="F457" s="703" t="s">
        <v>539</v>
      </c>
      <c r="G457" s="704">
        <f>+G458+G464+G466</f>
        <v>1256960</v>
      </c>
    </row>
    <row r="458" spans="1:7" ht="15.75">
      <c r="A458" s="705">
        <v>4</v>
      </c>
      <c r="B458" s="706">
        <v>1</v>
      </c>
      <c r="C458" s="706"/>
      <c r="D458" s="706"/>
      <c r="E458" s="707"/>
      <c r="F458" s="708" t="s">
        <v>664</v>
      </c>
      <c r="G458" s="709">
        <f>+G459+G462+G463</f>
        <v>1256960</v>
      </c>
    </row>
    <row r="459" spans="1:7" ht="15.75">
      <c r="A459" s="705">
        <v>4</v>
      </c>
      <c r="B459" s="706">
        <v>1</v>
      </c>
      <c r="C459" s="706">
        <v>1</v>
      </c>
      <c r="D459" s="706"/>
      <c r="E459" s="707"/>
      <c r="F459" s="708" t="s">
        <v>644</v>
      </c>
      <c r="G459" s="709">
        <f>+G460+G461</f>
        <v>464510</v>
      </c>
    </row>
    <row r="460" spans="1:7" ht="15.75">
      <c r="A460" s="705">
        <v>4</v>
      </c>
      <c r="B460" s="706">
        <v>1</v>
      </c>
      <c r="C460" s="706">
        <v>1</v>
      </c>
      <c r="D460" s="706">
        <v>1</v>
      </c>
      <c r="E460" s="707"/>
      <c r="F460" s="708" t="s">
        <v>665</v>
      </c>
      <c r="G460" s="709">
        <f>+ANEXO5!D712</f>
        <v>319700</v>
      </c>
    </row>
    <row r="461" spans="1:7" ht="15.75">
      <c r="A461" s="705">
        <v>4</v>
      </c>
      <c r="B461" s="706">
        <v>1</v>
      </c>
      <c r="C461" s="706">
        <v>1</v>
      </c>
      <c r="D461" s="706">
        <v>2</v>
      </c>
      <c r="E461" s="707"/>
      <c r="F461" s="708" t="s">
        <v>682</v>
      </c>
      <c r="G461" s="709">
        <f>+ANEXO5!D731</f>
        <v>144810</v>
      </c>
    </row>
    <row r="462" spans="1:7" ht="15.75">
      <c r="A462" s="705">
        <v>4</v>
      </c>
      <c r="B462" s="706">
        <v>1</v>
      </c>
      <c r="C462" s="706">
        <v>2</v>
      </c>
      <c r="D462" s="706"/>
      <c r="E462" s="707"/>
      <c r="F462" s="708" t="s">
        <v>645</v>
      </c>
      <c r="G462" s="709">
        <f>+ANEXO5!D761</f>
        <v>49050</v>
      </c>
    </row>
    <row r="463" spans="1:8" ht="15.75">
      <c r="A463" s="705">
        <v>4</v>
      </c>
      <c r="B463" s="706">
        <v>1</v>
      </c>
      <c r="C463" s="706">
        <v>3</v>
      </c>
      <c r="D463" s="706"/>
      <c r="E463" s="707"/>
      <c r="F463" s="708" t="s">
        <v>646</v>
      </c>
      <c r="G463" s="709">
        <f>+ANEXO5!D788</f>
        <v>743400</v>
      </c>
      <c r="H463" s="1"/>
    </row>
    <row r="464" spans="1:7" ht="15.75">
      <c r="A464" s="705">
        <v>4</v>
      </c>
      <c r="B464" s="706">
        <v>2</v>
      </c>
      <c r="C464" s="706"/>
      <c r="D464" s="706"/>
      <c r="E464" s="707"/>
      <c r="F464" s="708" t="s">
        <v>683</v>
      </c>
      <c r="G464" s="709">
        <f>+G465</f>
        <v>0</v>
      </c>
    </row>
    <row r="465" spans="1:7" ht="15.75">
      <c r="A465" s="705">
        <v>4</v>
      </c>
      <c r="B465" s="706">
        <v>2</v>
      </c>
      <c r="C465" s="706">
        <v>1</v>
      </c>
      <c r="D465" s="706"/>
      <c r="E465" s="707"/>
      <c r="F465" s="708" t="s">
        <v>684</v>
      </c>
      <c r="G465" s="710"/>
    </row>
    <row r="466" spans="1:7" ht="15.75">
      <c r="A466" s="705">
        <v>4</v>
      </c>
      <c r="B466" s="706">
        <v>3</v>
      </c>
      <c r="C466" s="706"/>
      <c r="D466" s="706"/>
      <c r="E466" s="707"/>
      <c r="F466" s="708" t="s">
        <v>685</v>
      </c>
      <c r="G466" s="709">
        <f>+G467</f>
        <v>0</v>
      </c>
    </row>
    <row r="467" spans="1:7" ht="15.75">
      <c r="A467" s="705">
        <v>4</v>
      </c>
      <c r="B467" s="706">
        <v>3</v>
      </c>
      <c r="C467" s="706">
        <v>1</v>
      </c>
      <c r="D467" s="706"/>
      <c r="E467" s="707"/>
      <c r="F467" s="708" t="s">
        <v>648</v>
      </c>
      <c r="G467" s="710">
        <v>0</v>
      </c>
    </row>
    <row r="468" spans="1:7" ht="15.75">
      <c r="A468" s="711">
        <v>5</v>
      </c>
      <c r="B468" s="706"/>
      <c r="C468" s="706"/>
      <c r="D468" s="706"/>
      <c r="E468" s="707"/>
      <c r="F468" s="708" t="s">
        <v>548</v>
      </c>
      <c r="G468" s="709">
        <f>+G469+G472+G473</f>
        <v>28860</v>
      </c>
    </row>
    <row r="469" spans="1:7" ht="15.75">
      <c r="A469" s="705">
        <v>5</v>
      </c>
      <c r="B469" s="706">
        <v>1</v>
      </c>
      <c r="C469" s="706"/>
      <c r="D469" s="706"/>
      <c r="E469" s="707"/>
      <c r="F469" s="708" t="s">
        <v>686</v>
      </c>
      <c r="G469" s="709">
        <f>+G470+G471</f>
        <v>28860</v>
      </c>
    </row>
    <row r="470" spans="1:7" ht="15.75">
      <c r="A470" s="705">
        <v>5</v>
      </c>
      <c r="B470" s="706">
        <v>1</v>
      </c>
      <c r="C470" s="706">
        <v>1</v>
      </c>
      <c r="D470" s="706"/>
      <c r="E470" s="707"/>
      <c r="F470" s="708" t="s">
        <v>649</v>
      </c>
      <c r="G470" s="710">
        <f>+ANEXO5!D804</f>
        <v>28860</v>
      </c>
    </row>
    <row r="471" spans="1:7" ht="15.75">
      <c r="A471" s="705">
        <v>5</v>
      </c>
      <c r="B471" s="706">
        <v>1</v>
      </c>
      <c r="C471" s="706">
        <v>2</v>
      </c>
      <c r="D471" s="706"/>
      <c r="E471" s="706"/>
      <c r="F471" s="708" t="s">
        <v>650</v>
      </c>
      <c r="G471" s="710"/>
    </row>
    <row r="472" spans="1:7" ht="15.75">
      <c r="A472" s="705">
        <v>5</v>
      </c>
      <c r="B472" s="706">
        <v>2</v>
      </c>
      <c r="C472" s="706"/>
      <c r="D472" s="706"/>
      <c r="E472" s="706"/>
      <c r="F472" s="708" t="s">
        <v>687</v>
      </c>
      <c r="G472" s="709">
        <v>0</v>
      </c>
    </row>
    <row r="473" spans="1:7" ht="15.75">
      <c r="A473" s="705">
        <v>5</v>
      </c>
      <c r="B473" s="706">
        <v>3</v>
      </c>
      <c r="C473" s="706"/>
      <c r="D473" s="706"/>
      <c r="E473" s="706"/>
      <c r="F473" s="708" t="s">
        <v>688</v>
      </c>
      <c r="G473" s="709">
        <f>+G474</f>
        <v>0</v>
      </c>
    </row>
    <row r="474" spans="1:7" ht="15.75">
      <c r="A474" s="705">
        <v>5</v>
      </c>
      <c r="B474" s="706">
        <v>3</v>
      </c>
      <c r="C474" s="706">
        <v>1</v>
      </c>
      <c r="D474" s="706"/>
      <c r="E474" s="706"/>
      <c r="F474" s="708" t="s">
        <v>651</v>
      </c>
      <c r="G474" s="710"/>
    </row>
    <row r="475" spans="1:7" ht="15.75">
      <c r="A475" s="711">
        <v>6</v>
      </c>
      <c r="B475" s="706"/>
      <c r="C475" s="706"/>
      <c r="D475" s="706"/>
      <c r="E475" s="706"/>
      <c r="F475" s="708" t="s">
        <v>553</v>
      </c>
      <c r="G475" s="709">
        <f>+G476</f>
        <v>0</v>
      </c>
    </row>
    <row r="476" spans="1:7" ht="15.75">
      <c r="A476" s="705">
        <v>6</v>
      </c>
      <c r="B476" s="706">
        <v>1</v>
      </c>
      <c r="C476" s="706"/>
      <c r="D476" s="706"/>
      <c r="E476" s="706"/>
      <c r="F476" s="708" t="s">
        <v>689</v>
      </c>
      <c r="G476" s="709">
        <f>+G477</f>
        <v>0</v>
      </c>
    </row>
    <row r="477" spans="1:7" ht="16.5" thickBot="1">
      <c r="A477" s="712">
        <v>6</v>
      </c>
      <c r="B477" s="713">
        <v>1</v>
      </c>
      <c r="C477" s="713">
        <v>1</v>
      </c>
      <c r="D477" s="713"/>
      <c r="E477" s="713"/>
      <c r="F477" s="714" t="s">
        <v>652</v>
      </c>
      <c r="G477" s="715"/>
    </row>
    <row r="478" spans="1:7" ht="16.5" thickBot="1">
      <c r="A478" s="544"/>
      <c r="B478" s="544"/>
      <c r="C478" s="544"/>
      <c r="D478" s="544"/>
      <c r="E478" s="544"/>
      <c r="F478" s="699" t="s">
        <v>690</v>
      </c>
      <c r="G478" s="716">
        <f>+G457+G468+G475</f>
        <v>1285820</v>
      </c>
    </row>
  </sheetData>
  <sheetProtection/>
  <mergeCells count="34">
    <mergeCell ref="A2:G2"/>
    <mergeCell ref="A4:E4"/>
    <mergeCell ref="A30:G30"/>
    <mergeCell ref="A32:E32"/>
    <mergeCell ref="A58:G58"/>
    <mergeCell ref="A60:E60"/>
    <mergeCell ref="A87:G87"/>
    <mergeCell ref="A89:E89"/>
    <mergeCell ref="A115:G115"/>
    <mergeCell ref="A117:E117"/>
    <mergeCell ref="A143:G143"/>
    <mergeCell ref="A145:E145"/>
    <mergeCell ref="A199:G199"/>
    <mergeCell ref="A201:E201"/>
    <mergeCell ref="A228:G228"/>
    <mergeCell ref="A230:E230"/>
    <mergeCell ref="A171:G171"/>
    <mergeCell ref="A173:E173"/>
    <mergeCell ref="A256:G256"/>
    <mergeCell ref="A258:E258"/>
    <mergeCell ref="A340:G340"/>
    <mergeCell ref="A342:E342"/>
    <mergeCell ref="A284:G284"/>
    <mergeCell ref="A286:E286"/>
    <mergeCell ref="A312:G312"/>
    <mergeCell ref="A314:E314"/>
    <mergeCell ref="A453:G453"/>
    <mergeCell ref="A455:E455"/>
    <mergeCell ref="A369:G369"/>
    <mergeCell ref="A371:E371"/>
    <mergeCell ref="A397:G397"/>
    <mergeCell ref="A399:E399"/>
    <mergeCell ref="A425:G425"/>
    <mergeCell ref="A427:E427"/>
  </mergeCells>
  <printOptions horizontalCentered="1"/>
  <pageMargins left="0.7874015748031497" right="0.1968503937007874" top="0.3937007874015748" bottom="0.3937007874015748" header="0.1968503937007874" footer="0"/>
  <pageSetup horizontalDpi="600" verticalDpi="600" orientation="portrait" paperSize="9" scale="98" r:id="rId1"/>
  <rowBreaks count="16" manualBreakCount="16">
    <brk id="27" max="255" man="1"/>
    <brk id="55" max="255" man="1"/>
    <brk id="84" max="255" man="1"/>
    <brk id="113" max="255" man="1"/>
    <brk id="141" max="255" man="1"/>
    <brk id="168" max="255" man="1"/>
    <brk id="196" max="255" man="1"/>
    <brk id="225" max="255" man="1"/>
    <brk id="253" max="255" man="1"/>
    <brk id="281" max="255" man="1"/>
    <brk id="309" max="255" man="1"/>
    <brk id="337" max="255" man="1"/>
    <brk id="366" max="255" man="1"/>
    <brk id="394" max="255" man="1"/>
    <brk id="422" max="255" man="1"/>
    <brk id="45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804"/>
  <sheetViews>
    <sheetView view="pageBreakPreview" zoomScale="75" zoomScaleNormal="75" zoomScaleSheetLayoutView="75" zoomScalePageLayoutView="0" workbookViewId="0" topLeftCell="A784">
      <selection activeCell="A732" sqref="A732:D804"/>
    </sheetView>
  </sheetViews>
  <sheetFormatPr defaultColWidth="11.421875" defaultRowHeight="12.75"/>
  <cols>
    <col min="1" max="1" width="10.421875" style="48" customWidth="1"/>
    <col min="2" max="2" width="47.7109375" style="48" customWidth="1"/>
    <col min="3" max="3" width="12.140625" style="48" bestFit="1" customWidth="1"/>
    <col min="4" max="4" width="18.57421875" style="48" customWidth="1"/>
    <col min="5" max="5" width="13.8515625" style="48" bestFit="1" customWidth="1"/>
    <col min="6" max="6" width="12.140625" style="48" bestFit="1" customWidth="1"/>
    <col min="7" max="7" width="10.8515625" style="48" bestFit="1" customWidth="1"/>
    <col min="8" max="8" width="12.57421875" style="48" bestFit="1" customWidth="1"/>
    <col min="9" max="9" width="11.421875" style="48" customWidth="1"/>
  </cols>
  <sheetData>
    <row r="1" spans="1:5" ht="18">
      <c r="A1" s="658"/>
      <c r="B1" s="658"/>
      <c r="C1" s="659"/>
      <c r="D1" s="658"/>
      <c r="E1" s="659" t="s">
        <v>363</v>
      </c>
    </row>
    <row r="2" spans="1:5" ht="18">
      <c r="A2" s="779" t="s">
        <v>383</v>
      </c>
      <c r="B2" s="779"/>
      <c r="C2" s="779"/>
      <c r="D2" s="779"/>
      <c r="E2" s="779"/>
    </row>
    <row r="3" spans="1:5" ht="18">
      <c r="A3" s="659" t="s">
        <v>37</v>
      </c>
      <c r="B3" s="790" t="s">
        <v>1036</v>
      </c>
      <c r="C3" s="790"/>
      <c r="D3" s="790"/>
      <c r="E3" s="658"/>
    </row>
    <row r="4" spans="1:5" ht="18">
      <c r="A4" s="659" t="s">
        <v>1012</v>
      </c>
      <c r="B4" s="660"/>
      <c r="C4" s="658"/>
      <c r="D4" s="658"/>
      <c r="E4" s="658"/>
    </row>
    <row r="5" spans="1:5" ht="18">
      <c r="A5" s="658"/>
      <c r="B5" s="658"/>
      <c r="C5" s="658"/>
      <c r="D5" s="658"/>
      <c r="E5" s="658"/>
    </row>
    <row r="6" spans="1:9" ht="18">
      <c r="A6" s="661" t="s">
        <v>621</v>
      </c>
      <c r="B6" s="662" t="s">
        <v>996</v>
      </c>
      <c r="C6" s="661" t="s">
        <v>1025</v>
      </c>
      <c r="D6" s="661" t="s">
        <v>1009</v>
      </c>
      <c r="E6" s="658"/>
      <c r="I6"/>
    </row>
    <row r="7" spans="1:9" ht="18">
      <c r="A7" s="661"/>
      <c r="B7" s="663"/>
      <c r="C7" s="661" t="s">
        <v>1035</v>
      </c>
      <c r="D7" s="661" t="s">
        <v>638</v>
      </c>
      <c r="E7" s="658"/>
      <c r="I7"/>
    </row>
    <row r="8" spans="1:9" ht="18">
      <c r="A8" s="664" t="s">
        <v>995</v>
      </c>
      <c r="B8" s="658"/>
      <c r="C8" s="658"/>
      <c r="D8" s="658"/>
      <c r="E8" s="658"/>
      <c r="I8"/>
    </row>
    <row r="9" spans="1:9" ht="18">
      <c r="A9" s="745" t="s">
        <v>666</v>
      </c>
      <c r="B9" s="746" t="s">
        <v>667</v>
      </c>
      <c r="C9" s="747">
        <f>529790-21190</f>
        <v>508600</v>
      </c>
      <c r="D9" s="668">
        <f aca="true" t="shared" si="0" ref="D9:D22">SUM(C9:C9)</f>
        <v>508600</v>
      </c>
      <c r="E9" s="658"/>
      <c r="G9" s="9"/>
      <c r="I9"/>
    </row>
    <row r="10" spans="1:9" ht="18">
      <c r="A10" s="745" t="s">
        <v>668</v>
      </c>
      <c r="B10" s="746" t="s">
        <v>669</v>
      </c>
      <c r="C10" s="747">
        <f>33160-1320</f>
        <v>31840</v>
      </c>
      <c r="D10" s="668">
        <f t="shared" si="0"/>
        <v>31840</v>
      </c>
      <c r="E10" s="658"/>
      <c r="G10" s="9"/>
      <c r="I10"/>
    </row>
    <row r="11" spans="1:9" ht="18">
      <c r="A11" s="745" t="s">
        <v>670</v>
      </c>
      <c r="B11" s="746" t="s">
        <v>726</v>
      </c>
      <c r="C11" s="747">
        <v>0</v>
      </c>
      <c r="D11" s="668">
        <f t="shared" si="0"/>
        <v>0</v>
      </c>
      <c r="E11" s="658"/>
      <c r="G11" s="9"/>
      <c r="I11"/>
    </row>
    <row r="12" spans="1:9" ht="18">
      <c r="A12" s="745" t="s">
        <v>672</v>
      </c>
      <c r="B12" s="746" t="s">
        <v>671</v>
      </c>
      <c r="C12" s="747">
        <v>0</v>
      </c>
      <c r="D12" s="668">
        <f t="shared" si="0"/>
        <v>0</v>
      </c>
      <c r="E12" s="658"/>
      <c r="G12" s="9"/>
      <c r="I12"/>
    </row>
    <row r="13" spans="1:9" ht="18">
      <c r="A13" s="745" t="s">
        <v>673</v>
      </c>
      <c r="B13" s="746" t="s">
        <v>674</v>
      </c>
      <c r="C13" s="747">
        <f>60610-2420</f>
        <v>58190</v>
      </c>
      <c r="D13" s="668">
        <f t="shared" si="0"/>
        <v>58190</v>
      </c>
      <c r="E13" s="658"/>
      <c r="G13" s="9"/>
      <c r="I13"/>
    </row>
    <row r="14" spans="1:9" ht="18">
      <c r="A14" s="745" t="s">
        <v>675</v>
      </c>
      <c r="B14" s="746" t="s">
        <v>727</v>
      </c>
      <c r="C14" s="747">
        <f>9260-370</f>
        <v>8890</v>
      </c>
      <c r="D14" s="668">
        <f t="shared" si="0"/>
        <v>8890</v>
      </c>
      <c r="E14" s="658"/>
      <c r="G14" s="9"/>
      <c r="I14"/>
    </row>
    <row r="15" spans="1:9" ht="18">
      <c r="A15" s="745" t="s">
        <v>677</v>
      </c>
      <c r="B15" s="746" t="s">
        <v>676</v>
      </c>
      <c r="C15" s="747">
        <f>50490-2020</f>
        <v>48470</v>
      </c>
      <c r="D15" s="668">
        <f t="shared" si="0"/>
        <v>48470</v>
      </c>
      <c r="E15" s="658"/>
      <c r="G15" s="9"/>
      <c r="I15"/>
    </row>
    <row r="16" spans="1:9" ht="18">
      <c r="A16" s="745" t="s">
        <v>679</v>
      </c>
      <c r="B16" s="746" t="s">
        <v>678</v>
      </c>
      <c r="C16" s="747">
        <f>24910-990</f>
        <v>23920</v>
      </c>
      <c r="D16" s="668">
        <f t="shared" si="0"/>
        <v>23920</v>
      </c>
      <c r="E16" s="658"/>
      <c r="G16" s="9"/>
      <c r="I16"/>
    </row>
    <row r="17" spans="1:9" ht="18">
      <c r="A17" s="745" t="s">
        <v>680</v>
      </c>
      <c r="B17" s="746" t="s">
        <v>728</v>
      </c>
      <c r="C17" s="747">
        <f>2420-90</f>
        <v>2330</v>
      </c>
      <c r="D17" s="668">
        <f t="shared" si="0"/>
        <v>2330</v>
      </c>
      <c r="E17" s="658"/>
      <c r="G17" s="9"/>
      <c r="I17"/>
    </row>
    <row r="18" spans="1:9" ht="18">
      <c r="A18" s="745" t="s">
        <v>681</v>
      </c>
      <c r="B18" s="746" t="s">
        <v>730</v>
      </c>
      <c r="C18" s="747">
        <f>22380-890</f>
        <v>21490</v>
      </c>
      <c r="D18" s="668">
        <f t="shared" si="0"/>
        <v>21490</v>
      </c>
      <c r="E18" s="658"/>
      <c r="G18" s="9"/>
      <c r="I18"/>
    </row>
    <row r="19" spans="1:9" ht="18">
      <c r="A19" s="745" t="s">
        <v>725</v>
      </c>
      <c r="B19" s="746" t="s">
        <v>731</v>
      </c>
      <c r="C19" s="747">
        <f>38920-1550</f>
        <v>37370</v>
      </c>
      <c r="D19" s="668">
        <f t="shared" si="0"/>
        <v>37370</v>
      </c>
      <c r="E19" s="658"/>
      <c r="G19" s="9"/>
      <c r="I19"/>
    </row>
    <row r="20" spans="1:9" ht="18">
      <c r="A20" s="745" t="s">
        <v>729</v>
      </c>
      <c r="B20" s="746" t="s">
        <v>732</v>
      </c>
      <c r="C20" s="747">
        <f>26160-1040</f>
        <v>25120</v>
      </c>
      <c r="D20" s="668">
        <f t="shared" si="0"/>
        <v>25120</v>
      </c>
      <c r="E20" s="658"/>
      <c r="G20" s="9"/>
      <c r="I20"/>
    </row>
    <row r="21" spans="1:9" ht="18">
      <c r="A21" s="745" t="s">
        <v>733</v>
      </c>
      <c r="B21" s="746" t="s">
        <v>735</v>
      </c>
      <c r="C21" s="747">
        <f>4130-160</f>
        <v>3970</v>
      </c>
      <c r="D21" s="668">
        <f t="shared" si="0"/>
        <v>3970</v>
      </c>
      <c r="E21" s="658"/>
      <c r="G21" s="9"/>
      <c r="I21"/>
    </row>
    <row r="22" spans="1:9" ht="18">
      <c r="A22" s="745" t="s">
        <v>734</v>
      </c>
      <c r="B22" s="746" t="s">
        <v>736</v>
      </c>
      <c r="C22" s="747">
        <v>0</v>
      </c>
      <c r="D22" s="668">
        <f t="shared" si="0"/>
        <v>0</v>
      </c>
      <c r="E22" s="658"/>
      <c r="G22" s="9"/>
      <c r="I22"/>
    </row>
    <row r="23" spans="1:9" ht="18">
      <c r="A23" s="669"/>
      <c r="B23" s="662" t="s">
        <v>638</v>
      </c>
      <c r="C23" s="668">
        <f>SUM(C9:C22)</f>
        <v>770190</v>
      </c>
      <c r="D23" s="668">
        <f>SUM(D9:D22)</f>
        <v>770190</v>
      </c>
      <c r="E23" s="658"/>
      <c r="I23"/>
    </row>
    <row r="24" spans="1:5" ht="18">
      <c r="A24" s="658"/>
      <c r="B24" s="658"/>
      <c r="C24" s="658"/>
      <c r="D24" s="658"/>
      <c r="E24" s="658"/>
    </row>
    <row r="25" spans="1:9" ht="18">
      <c r="A25" s="661" t="s">
        <v>621</v>
      </c>
      <c r="B25" s="662" t="s">
        <v>998</v>
      </c>
      <c r="C25" s="661" t="s">
        <v>1025</v>
      </c>
      <c r="D25" s="661" t="s">
        <v>1009</v>
      </c>
      <c r="E25" s="658"/>
      <c r="I25"/>
    </row>
    <row r="26" spans="1:9" ht="18">
      <c r="A26" s="661"/>
      <c r="B26" s="663"/>
      <c r="C26" s="661" t="s">
        <v>1035</v>
      </c>
      <c r="D26" s="661" t="s">
        <v>638</v>
      </c>
      <c r="E26" s="658"/>
      <c r="I26"/>
    </row>
    <row r="27" spans="1:9" ht="18">
      <c r="A27" s="664" t="s">
        <v>999</v>
      </c>
      <c r="B27" s="658"/>
      <c r="C27" s="658"/>
      <c r="D27" s="658"/>
      <c r="E27" s="658"/>
      <c r="I27"/>
    </row>
    <row r="28" spans="1:9" ht="18">
      <c r="A28" s="748" t="s">
        <v>666</v>
      </c>
      <c r="B28" s="666" t="s">
        <v>667</v>
      </c>
      <c r="C28" s="667">
        <f>33650-1340</f>
        <v>32310</v>
      </c>
      <c r="D28" s="668">
        <f aca="true" t="shared" si="1" ref="D28:D41">SUM(C28:C28)</f>
        <v>32310</v>
      </c>
      <c r="E28" s="658"/>
      <c r="I28"/>
    </row>
    <row r="29" spans="1:9" ht="18">
      <c r="A29" s="748" t="s">
        <v>668</v>
      </c>
      <c r="B29" s="666" t="s">
        <v>669</v>
      </c>
      <c r="C29" s="667">
        <f>710-30</f>
        <v>680</v>
      </c>
      <c r="D29" s="668">
        <f t="shared" si="1"/>
        <v>680</v>
      </c>
      <c r="E29" s="658"/>
      <c r="I29"/>
    </row>
    <row r="30" spans="1:9" ht="18">
      <c r="A30" s="748" t="s">
        <v>670</v>
      </c>
      <c r="B30" s="666" t="s">
        <v>726</v>
      </c>
      <c r="C30" s="667">
        <v>0</v>
      </c>
      <c r="D30" s="668">
        <f t="shared" si="1"/>
        <v>0</v>
      </c>
      <c r="E30" s="658"/>
      <c r="I30"/>
    </row>
    <row r="31" spans="1:9" ht="18">
      <c r="A31" s="748" t="s">
        <v>672</v>
      </c>
      <c r="B31" s="666" t="s">
        <v>671</v>
      </c>
      <c r="C31" s="667">
        <v>0</v>
      </c>
      <c r="D31" s="668">
        <f t="shared" si="1"/>
        <v>0</v>
      </c>
      <c r="E31" s="658"/>
      <c r="I31"/>
    </row>
    <row r="32" spans="1:9" ht="18">
      <c r="A32" s="748" t="s">
        <v>673</v>
      </c>
      <c r="B32" s="666" t="s">
        <v>674</v>
      </c>
      <c r="C32" s="667">
        <f>79940-3190</f>
        <v>76750</v>
      </c>
      <c r="D32" s="668">
        <f t="shared" si="1"/>
        <v>76750</v>
      </c>
      <c r="E32" s="658"/>
      <c r="I32"/>
    </row>
    <row r="33" spans="1:9" ht="18">
      <c r="A33" s="748" t="s">
        <v>675</v>
      </c>
      <c r="B33" s="666" t="s">
        <v>727</v>
      </c>
      <c r="C33" s="667">
        <v>0</v>
      </c>
      <c r="D33" s="668">
        <f t="shared" si="1"/>
        <v>0</v>
      </c>
      <c r="E33" s="658"/>
      <c r="I33"/>
    </row>
    <row r="34" spans="1:9" ht="18">
      <c r="A34" s="748" t="s">
        <v>677</v>
      </c>
      <c r="B34" s="666" t="s">
        <v>676</v>
      </c>
      <c r="C34" s="667">
        <f>9580-380</f>
        <v>9200</v>
      </c>
      <c r="D34" s="668">
        <f t="shared" si="1"/>
        <v>9200</v>
      </c>
      <c r="E34" s="658"/>
      <c r="I34"/>
    </row>
    <row r="35" spans="1:9" ht="18">
      <c r="A35" s="748" t="s">
        <v>679</v>
      </c>
      <c r="B35" s="666" t="s">
        <v>678</v>
      </c>
      <c r="C35" s="667">
        <v>0</v>
      </c>
      <c r="D35" s="668">
        <f t="shared" si="1"/>
        <v>0</v>
      </c>
      <c r="E35" s="658"/>
      <c r="I35"/>
    </row>
    <row r="36" spans="1:9" ht="18">
      <c r="A36" s="748" t="s">
        <v>680</v>
      </c>
      <c r="B36" s="666" t="s">
        <v>728</v>
      </c>
      <c r="C36" s="667">
        <f>4590-180</f>
        <v>4410</v>
      </c>
      <c r="D36" s="668">
        <f t="shared" si="1"/>
        <v>4410</v>
      </c>
      <c r="E36" s="658"/>
      <c r="I36"/>
    </row>
    <row r="37" spans="1:9" ht="18">
      <c r="A37" s="748" t="s">
        <v>681</v>
      </c>
      <c r="B37" s="666" t="s">
        <v>730</v>
      </c>
      <c r="C37" s="667">
        <f>23950-960</f>
        <v>22990</v>
      </c>
      <c r="D37" s="668">
        <f t="shared" si="1"/>
        <v>22990</v>
      </c>
      <c r="E37" s="658"/>
      <c r="I37"/>
    </row>
    <row r="38" spans="1:9" ht="18">
      <c r="A38" s="748" t="s">
        <v>725</v>
      </c>
      <c r="B38" s="666" t="s">
        <v>731</v>
      </c>
      <c r="C38" s="667">
        <f>17600-700</f>
        <v>16900</v>
      </c>
      <c r="D38" s="668">
        <f t="shared" si="1"/>
        <v>16900</v>
      </c>
      <c r="E38" s="658"/>
      <c r="I38"/>
    </row>
    <row r="39" spans="1:9" ht="18">
      <c r="A39" s="748" t="s">
        <v>729</v>
      </c>
      <c r="B39" s="666" t="s">
        <v>732</v>
      </c>
      <c r="C39" s="667">
        <f>12070-480</f>
        <v>11590</v>
      </c>
      <c r="D39" s="668">
        <f t="shared" si="1"/>
        <v>11590</v>
      </c>
      <c r="E39" s="658"/>
      <c r="I39"/>
    </row>
    <row r="40" spans="1:9" ht="18">
      <c r="A40" s="748" t="s">
        <v>733</v>
      </c>
      <c r="B40" s="666" t="s">
        <v>735</v>
      </c>
      <c r="C40" s="667">
        <f>2070-80</f>
        <v>1990</v>
      </c>
      <c r="D40" s="668">
        <f t="shared" si="1"/>
        <v>1990</v>
      </c>
      <c r="E40" s="658"/>
      <c r="I40"/>
    </row>
    <row r="41" spans="1:9" ht="18">
      <c r="A41" s="748" t="s">
        <v>734</v>
      </c>
      <c r="B41" s="666" t="s">
        <v>736</v>
      </c>
      <c r="C41" s="667">
        <v>0</v>
      </c>
      <c r="D41" s="668">
        <f t="shared" si="1"/>
        <v>0</v>
      </c>
      <c r="E41" s="658"/>
      <c r="I41"/>
    </row>
    <row r="42" spans="1:9" ht="18">
      <c r="A42" s="669"/>
      <c r="B42" s="662" t="s">
        <v>638</v>
      </c>
      <c r="C42" s="668">
        <f>SUM(C28:C41)</f>
        <v>176820</v>
      </c>
      <c r="D42" s="668">
        <f>SUM(D28:D41)</f>
        <v>176820</v>
      </c>
      <c r="E42" s="658"/>
      <c r="I42"/>
    </row>
    <row r="44" spans="1:5" ht="15.75">
      <c r="A44" s="544"/>
      <c r="B44" s="544"/>
      <c r="C44" s="69"/>
      <c r="D44" s="544"/>
      <c r="E44" s="69" t="s">
        <v>363</v>
      </c>
    </row>
    <row r="45" spans="1:5" ht="15.75">
      <c r="A45" s="784" t="str">
        <f>+A2</f>
        <v>PRESUPUESTO 2008</v>
      </c>
      <c r="B45" s="784"/>
      <c r="C45" s="784"/>
      <c r="D45" s="784"/>
      <c r="E45" s="784"/>
    </row>
    <row r="46" spans="1:5" ht="15.75">
      <c r="A46" s="69" t="str">
        <f>+A3</f>
        <v>Juris.:</v>
      </c>
      <c r="B46" s="789" t="s">
        <v>1036</v>
      </c>
      <c r="C46" s="789"/>
      <c r="D46" s="789"/>
      <c r="E46" s="544"/>
    </row>
    <row r="47" spans="1:5" ht="15.75">
      <c r="A47" s="69" t="s">
        <v>1012</v>
      </c>
      <c r="B47" s="76"/>
      <c r="C47" s="544"/>
      <c r="D47" s="544"/>
      <c r="E47" s="544"/>
    </row>
    <row r="48" spans="1:5" ht="15">
      <c r="A48" s="544"/>
      <c r="B48" s="544"/>
      <c r="C48" s="544"/>
      <c r="D48" s="544"/>
      <c r="E48" s="544"/>
    </row>
    <row r="49" spans="1:9" ht="15.75">
      <c r="A49" s="657" t="s">
        <v>621</v>
      </c>
      <c r="B49" s="739" t="s">
        <v>1001</v>
      </c>
      <c r="C49" s="657" t="s">
        <v>1025</v>
      </c>
      <c r="D49" s="657" t="s">
        <v>1009</v>
      </c>
      <c r="E49" s="544"/>
      <c r="I49"/>
    </row>
    <row r="50" spans="1:9" ht="15.75">
      <c r="A50" s="657"/>
      <c r="B50" s="740"/>
      <c r="C50" s="657" t="s">
        <v>1035</v>
      </c>
      <c r="D50" s="657" t="s">
        <v>638</v>
      </c>
      <c r="E50" s="544"/>
      <c r="I50"/>
    </row>
    <row r="51" spans="1:9" ht="15.75">
      <c r="A51" s="71" t="s">
        <v>1000</v>
      </c>
      <c r="B51" s="544"/>
      <c r="C51" s="544"/>
      <c r="D51" s="544"/>
      <c r="E51" s="544"/>
      <c r="I51"/>
    </row>
    <row r="52" spans="1:9" ht="15.75">
      <c r="A52" s="706">
        <v>1</v>
      </c>
      <c r="B52" s="743" t="s">
        <v>834</v>
      </c>
      <c r="C52" s="744">
        <f>1100-170</f>
        <v>930</v>
      </c>
      <c r="D52" s="741">
        <f aca="true" t="shared" si="2" ref="D52:D70">SUM(C52:C52)</f>
        <v>930</v>
      </c>
      <c r="E52" s="544"/>
      <c r="I52"/>
    </row>
    <row r="53" spans="1:9" ht="15.75">
      <c r="A53" s="706">
        <v>2</v>
      </c>
      <c r="B53" s="743" t="s">
        <v>835</v>
      </c>
      <c r="C53" s="744"/>
      <c r="D53" s="741">
        <f t="shared" si="2"/>
        <v>0</v>
      </c>
      <c r="E53" s="544"/>
      <c r="I53"/>
    </row>
    <row r="54" spans="1:9" ht="15.75">
      <c r="A54" s="706">
        <v>3</v>
      </c>
      <c r="B54" s="743" t="s">
        <v>836</v>
      </c>
      <c r="C54" s="744">
        <f>1030-160</f>
        <v>870</v>
      </c>
      <c r="D54" s="741">
        <f t="shared" si="2"/>
        <v>870</v>
      </c>
      <c r="E54" s="544"/>
      <c r="I54"/>
    </row>
    <row r="55" spans="1:9" ht="15.75">
      <c r="A55" s="706">
        <v>4</v>
      </c>
      <c r="B55" s="743" t="s">
        <v>837</v>
      </c>
      <c r="C55" s="744">
        <f>28900-4620</f>
        <v>24280</v>
      </c>
      <c r="D55" s="741">
        <f t="shared" si="2"/>
        <v>24280</v>
      </c>
      <c r="E55" s="544"/>
      <c r="I55"/>
    </row>
    <row r="56" spans="1:9" ht="15.75">
      <c r="A56" s="706">
        <v>5</v>
      </c>
      <c r="B56" s="743" t="s">
        <v>838</v>
      </c>
      <c r="C56" s="744">
        <f>3430-540</f>
        <v>2890</v>
      </c>
      <c r="D56" s="741">
        <f t="shared" si="2"/>
        <v>2890</v>
      </c>
      <c r="E56" s="544"/>
      <c r="I56"/>
    </row>
    <row r="57" spans="1:9" ht="15.75">
      <c r="A57" s="706">
        <v>6</v>
      </c>
      <c r="B57" s="743" t="s">
        <v>839</v>
      </c>
      <c r="C57" s="744"/>
      <c r="D57" s="741">
        <f t="shared" si="2"/>
        <v>0</v>
      </c>
      <c r="E57" s="544"/>
      <c r="I57"/>
    </row>
    <row r="58" spans="1:9" ht="15.75">
      <c r="A58" s="706">
        <v>7</v>
      </c>
      <c r="B58" s="743" t="s">
        <v>840</v>
      </c>
      <c r="C58" s="744">
        <f>300-40</f>
        <v>260</v>
      </c>
      <c r="D58" s="741">
        <f t="shared" si="2"/>
        <v>260</v>
      </c>
      <c r="E58" s="544"/>
      <c r="I58"/>
    </row>
    <row r="59" spans="1:9" ht="15.75">
      <c r="A59" s="706">
        <v>8</v>
      </c>
      <c r="B59" s="743" t="s">
        <v>842</v>
      </c>
      <c r="C59" s="744"/>
      <c r="D59" s="741">
        <f t="shared" si="2"/>
        <v>0</v>
      </c>
      <c r="E59" s="544"/>
      <c r="I59"/>
    </row>
    <row r="60" spans="1:9" ht="15.75">
      <c r="A60" s="706">
        <v>9</v>
      </c>
      <c r="B60" s="743" t="s">
        <v>843</v>
      </c>
      <c r="C60" s="744"/>
      <c r="D60" s="741">
        <f t="shared" si="2"/>
        <v>0</v>
      </c>
      <c r="E60" s="544"/>
      <c r="I60"/>
    </row>
    <row r="61" spans="1:9" ht="15.75">
      <c r="A61" s="706">
        <v>10</v>
      </c>
      <c r="B61" s="743" t="s">
        <v>844</v>
      </c>
      <c r="C61" s="744"/>
      <c r="D61" s="741">
        <f t="shared" si="2"/>
        <v>0</v>
      </c>
      <c r="E61" s="544"/>
      <c r="I61"/>
    </row>
    <row r="62" spans="1:9" ht="15.75">
      <c r="A62" s="706">
        <v>11</v>
      </c>
      <c r="B62" s="743" t="s">
        <v>845</v>
      </c>
      <c r="C62" s="744">
        <f>18640-2980</f>
        <v>15660</v>
      </c>
      <c r="D62" s="741">
        <f t="shared" si="2"/>
        <v>15660</v>
      </c>
      <c r="E62" s="544"/>
      <c r="I62"/>
    </row>
    <row r="63" spans="1:9" ht="15.75">
      <c r="A63" s="706">
        <v>12</v>
      </c>
      <c r="B63" s="743" t="s">
        <v>846</v>
      </c>
      <c r="C63" s="744">
        <f>42300-6760</f>
        <v>35540</v>
      </c>
      <c r="D63" s="741">
        <f t="shared" si="2"/>
        <v>35540</v>
      </c>
      <c r="E63" s="544"/>
      <c r="I63"/>
    </row>
    <row r="64" spans="1:9" ht="15.75">
      <c r="A64" s="706">
        <v>13</v>
      </c>
      <c r="B64" s="743" t="s">
        <v>847</v>
      </c>
      <c r="C64" s="744">
        <f>4000-640</f>
        <v>3360</v>
      </c>
      <c r="D64" s="741">
        <f t="shared" si="2"/>
        <v>3360</v>
      </c>
      <c r="E64" s="544"/>
      <c r="I64"/>
    </row>
    <row r="65" spans="1:9" ht="15.75">
      <c r="A65" s="706">
        <v>14</v>
      </c>
      <c r="B65" s="743" t="s">
        <v>848</v>
      </c>
      <c r="C65" s="744"/>
      <c r="D65" s="741">
        <f t="shared" si="2"/>
        <v>0</v>
      </c>
      <c r="E65" s="544"/>
      <c r="I65"/>
    </row>
    <row r="66" spans="1:9" ht="15.75">
      <c r="A66" s="706">
        <v>15</v>
      </c>
      <c r="B66" s="743" t="s">
        <v>849</v>
      </c>
      <c r="C66" s="744">
        <f>180000-28800-54000</f>
        <v>97200</v>
      </c>
      <c r="D66" s="741">
        <f t="shared" si="2"/>
        <v>97200</v>
      </c>
      <c r="E66" s="544"/>
      <c r="I66"/>
    </row>
    <row r="67" spans="1:9" ht="15.75">
      <c r="A67" s="706">
        <v>16</v>
      </c>
      <c r="B67" s="743" t="s">
        <v>850</v>
      </c>
      <c r="C67" s="744"/>
      <c r="D67" s="741">
        <f t="shared" si="2"/>
        <v>0</v>
      </c>
      <c r="E67" s="544"/>
      <c r="I67"/>
    </row>
    <row r="68" spans="1:9" ht="15.75">
      <c r="A68" s="706">
        <v>17</v>
      </c>
      <c r="B68" s="743" t="s">
        <v>851</v>
      </c>
      <c r="C68" s="744"/>
      <c r="D68" s="741">
        <f t="shared" si="2"/>
        <v>0</v>
      </c>
      <c r="E68" s="544"/>
      <c r="I68"/>
    </row>
    <row r="69" spans="1:9" ht="15.75">
      <c r="A69" s="706">
        <v>18</v>
      </c>
      <c r="B69" s="743" t="s">
        <v>852</v>
      </c>
      <c r="C69" s="744"/>
      <c r="D69" s="741">
        <f t="shared" si="2"/>
        <v>0</v>
      </c>
      <c r="E69" s="544"/>
      <c r="I69"/>
    </row>
    <row r="70" spans="1:9" ht="15.75">
      <c r="A70" s="706">
        <v>19</v>
      </c>
      <c r="B70" s="743" t="s">
        <v>853</v>
      </c>
      <c r="C70" s="744"/>
      <c r="D70" s="741">
        <f t="shared" si="2"/>
        <v>0</v>
      </c>
      <c r="E70" s="544"/>
      <c r="I70"/>
    </row>
    <row r="71" spans="1:9" ht="15.75">
      <c r="A71" s="742"/>
      <c r="B71" s="739" t="s">
        <v>638</v>
      </c>
      <c r="C71" s="741">
        <f>SUM(C52:C70)</f>
        <v>180990</v>
      </c>
      <c r="D71" s="741">
        <f>SUM(D52:D70)</f>
        <v>180990</v>
      </c>
      <c r="E71" s="544"/>
      <c r="I71"/>
    </row>
    <row r="72" spans="1:5" ht="15">
      <c r="A72" s="544"/>
      <c r="B72" s="544"/>
      <c r="C72" s="544"/>
      <c r="D72" s="544"/>
      <c r="E72" s="544"/>
    </row>
    <row r="73" spans="1:9" ht="15.75">
      <c r="A73" s="657" t="s">
        <v>621</v>
      </c>
      <c r="B73" s="739" t="s">
        <v>990</v>
      </c>
      <c r="C73" s="657" t="s">
        <v>1025</v>
      </c>
      <c r="D73" s="657" t="s">
        <v>1009</v>
      </c>
      <c r="E73" s="544"/>
      <c r="I73"/>
    </row>
    <row r="74" spans="1:9" ht="15.75">
      <c r="A74" s="657"/>
      <c r="B74" s="740"/>
      <c r="C74" s="657" t="s">
        <v>1035</v>
      </c>
      <c r="D74" s="657" t="s">
        <v>638</v>
      </c>
      <c r="E74" s="544"/>
      <c r="I74"/>
    </row>
    <row r="75" spans="1:9" ht="15.75">
      <c r="A75" s="71" t="s">
        <v>1002</v>
      </c>
      <c r="B75" s="544"/>
      <c r="C75" s="544"/>
      <c r="D75" s="544"/>
      <c r="E75" s="544"/>
      <c r="I75"/>
    </row>
    <row r="76" spans="1:9" ht="15.75">
      <c r="A76" s="706">
        <v>1</v>
      </c>
      <c r="B76" s="743" t="s">
        <v>854</v>
      </c>
      <c r="C76" s="744">
        <f>300-40</f>
        <v>260</v>
      </c>
      <c r="D76" s="741">
        <f aca="true" t="shared" si="3" ref="D76:D97">SUM(C76:C76)</f>
        <v>260</v>
      </c>
      <c r="E76" s="544"/>
      <c r="I76"/>
    </row>
    <row r="77" spans="1:9" ht="15.75">
      <c r="A77" s="706">
        <v>2</v>
      </c>
      <c r="B77" s="743" t="s">
        <v>855</v>
      </c>
      <c r="C77" s="744"/>
      <c r="D77" s="741">
        <f t="shared" si="3"/>
        <v>0</v>
      </c>
      <c r="E77" s="544"/>
      <c r="I77"/>
    </row>
    <row r="78" spans="1:9" ht="15.75">
      <c r="A78" s="706">
        <v>3</v>
      </c>
      <c r="B78" s="743" t="s">
        <v>856</v>
      </c>
      <c r="C78" s="744"/>
      <c r="D78" s="741">
        <f t="shared" si="3"/>
        <v>0</v>
      </c>
      <c r="E78" s="544"/>
      <c r="I78"/>
    </row>
    <row r="79" spans="1:9" ht="15.75">
      <c r="A79" s="706">
        <v>4</v>
      </c>
      <c r="B79" s="743" t="s">
        <v>857</v>
      </c>
      <c r="C79" s="744"/>
      <c r="D79" s="741">
        <f t="shared" si="3"/>
        <v>0</v>
      </c>
      <c r="E79" s="544"/>
      <c r="I79"/>
    </row>
    <row r="80" spans="1:9" ht="15.75">
      <c r="A80" s="706">
        <v>5</v>
      </c>
      <c r="B80" s="743" t="s">
        <v>858</v>
      </c>
      <c r="C80" s="744"/>
      <c r="D80" s="741">
        <f t="shared" si="3"/>
        <v>0</v>
      </c>
      <c r="E80" s="544"/>
      <c r="I80"/>
    </row>
    <row r="81" spans="1:9" ht="15.75">
      <c r="A81" s="706">
        <v>6</v>
      </c>
      <c r="B81" s="743" t="s">
        <v>859</v>
      </c>
      <c r="C81" s="744">
        <f>36000-5760</f>
        <v>30240</v>
      </c>
      <c r="D81" s="741">
        <f t="shared" si="3"/>
        <v>30240</v>
      </c>
      <c r="E81" s="544"/>
      <c r="I81"/>
    </row>
    <row r="82" spans="1:9" ht="15.75">
      <c r="A82" s="706">
        <v>7</v>
      </c>
      <c r="B82" s="743" t="s">
        <v>860</v>
      </c>
      <c r="C82" s="744">
        <f>125000-20000</f>
        <v>105000</v>
      </c>
      <c r="D82" s="741">
        <f t="shared" si="3"/>
        <v>105000</v>
      </c>
      <c r="E82" s="544"/>
      <c r="I82"/>
    </row>
    <row r="83" spans="1:9" ht="15.75">
      <c r="A83" s="706">
        <v>8</v>
      </c>
      <c r="B83" s="743" t="s">
        <v>861</v>
      </c>
      <c r="C83" s="744"/>
      <c r="D83" s="741">
        <f t="shared" si="3"/>
        <v>0</v>
      </c>
      <c r="E83" s="544"/>
      <c r="I83"/>
    </row>
    <row r="84" spans="1:9" ht="15.75">
      <c r="A84" s="706">
        <v>9</v>
      </c>
      <c r="B84" s="743" t="s">
        <v>862</v>
      </c>
      <c r="C84" s="744">
        <f>5000-800</f>
        <v>4200</v>
      </c>
      <c r="D84" s="741">
        <f t="shared" si="3"/>
        <v>4200</v>
      </c>
      <c r="E84" s="544"/>
      <c r="I84"/>
    </row>
    <row r="85" spans="1:9" ht="15.75">
      <c r="A85" s="706">
        <v>10</v>
      </c>
      <c r="B85" s="743" t="s">
        <v>863</v>
      </c>
      <c r="C85" s="744"/>
      <c r="D85" s="741">
        <f t="shared" si="3"/>
        <v>0</v>
      </c>
      <c r="E85" s="544"/>
      <c r="I85"/>
    </row>
    <row r="86" spans="1:9" ht="15.75">
      <c r="A86" s="706">
        <v>11</v>
      </c>
      <c r="B86" s="743" t="s">
        <v>864</v>
      </c>
      <c r="C86" s="744"/>
      <c r="D86" s="741">
        <f t="shared" si="3"/>
        <v>0</v>
      </c>
      <c r="E86" s="544"/>
      <c r="I86"/>
    </row>
    <row r="87" spans="1:9" ht="15.75">
      <c r="A87" s="706">
        <v>12</v>
      </c>
      <c r="B87" s="743" t="s">
        <v>865</v>
      </c>
      <c r="C87" s="744"/>
      <c r="D87" s="741">
        <f t="shared" si="3"/>
        <v>0</v>
      </c>
      <c r="E87" s="544"/>
      <c r="I87"/>
    </row>
    <row r="88" spans="1:9" ht="15.75">
      <c r="A88" s="706">
        <v>13</v>
      </c>
      <c r="B88" s="743" t="s">
        <v>866</v>
      </c>
      <c r="C88" s="744">
        <f>4000-640</f>
        <v>3360</v>
      </c>
      <c r="D88" s="741">
        <f t="shared" si="3"/>
        <v>3360</v>
      </c>
      <c r="E88" s="544"/>
      <c r="I88"/>
    </row>
    <row r="89" spans="1:9" ht="15.75">
      <c r="A89" s="706">
        <v>14</v>
      </c>
      <c r="B89" s="743" t="s">
        <v>867</v>
      </c>
      <c r="C89" s="744">
        <f>90000-14400-18000</f>
        <v>57600</v>
      </c>
      <c r="D89" s="741">
        <f t="shared" si="3"/>
        <v>57600</v>
      </c>
      <c r="E89" s="544"/>
      <c r="I89"/>
    </row>
    <row r="90" spans="1:9" ht="15.75">
      <c r="A90" s="706">
        <v>15</v>
      </c>
      <c r="B90" s="743" t="s">
        <v>868</v>
      </c>
      <c r="C90" s="744">
        <f>4000-640</f>
        <v>3360</v>
      </c>
      <c r="D90" s="741">
        <f t="shared" si="3"/>
        <v>3360</v>
      </c>
      <c r="E90" s="544"/>
      <c r="I90"/>
    </row>
    <row r="91" spans="1:9" ht="15.75">
      <c r="A91" s="706">
        <v>16</v>
      </c>
      <c r="B91" s="743" t="s">
        <v>869</v>
      </c>
      <c r="C91" s="744"/>
      <c r="D91" s="741">
        <f t="shared" si="3"/>
        <v>0</v>
      </c>
      <c r="E91" s="544"/>
      <c r="I91"/>
    </row>
    <row r="92" spans="1:9" ht="15.75">
      <c r="A92" s="706">
        <v>17</v>
      </c>
      <c r="B92" s="743" t="s">
        <v>870</v>
      </c>
      <c r="C92" s="744"/>
      <c r="D92" s="741">
        <f t="shared" si="3"/>
        <v>0</v>
      </c>
      <c r="E92" s="544"/>
      <c r="I92"/>
    </row>
    <row r="93" spans="1:9" ht="15.75">
      <c r="A93" s="706">
        <v>18</v>
      </c>
      <c r="B93" s="743" t="s">
        <v>871</v>
      </c>
      <c r="C93" s="744"/>
      <c r="D93" s="741">
        <f t="shared" si="3"/>
        <v>0</v>
      </c>
      <c r="E93" s="544"/>
      <c r="I93"/>
    </row>
    <row r="94" spans="1:9" ht="15.75">
      <c r="A94" s="706">
        <v>19</v>
      </c>
      <c r="B94" s="743" t="s">
        <v>872</v>
      </c>
      <c r="C94" s="744"/>
      <c r="D94" s="741">
        <f t="shared" si="3"/>
        <v>0</v>
      </c>
      <c r="E94" s="544"/>
      <c r="I94"/>
    </row>
    <row r="95" spans="1:9" ht="15.75">
      <c r="A95" s="706">
        <v>20</v>
      </c>
      <c r="B95" s="743" t="s">
        <v>873</v>
      </c>
      <c r="C95" s="744"/>
      <c r="D95" s="741">
        <f t="shared" si="3"/>
        <v>0</v>
      </c>
      <c r="E95" s="544"/>
      <c r="I95"/>
    </row>
    <row r="96" spans="1:9" ht="15.75">
      <c r="A96" s="706">
        <v>21</v>
      </c>
      <c r="B96" s="743" t="s">
        <v>874</v>
      </c>
      <c r="C96" s="744">
        <f>40000-6400</f>
        <v>33600</v>
      </c>
      <c r="D96" s="741">
        <f t="shared" si="3"/>
        <v>33600</v>
      </c>
      <c r="E96" s="544"/>
      <c r="I96"/>
    </row>
    <row r="97" spans="1:9" ht="15.75">
      <c r="A97" s="706" t="s">
        <v>106</v>
      </c>
      <c r="B97" s="743" t="s">
        <v>117</v>
      </c>
      <c r="C97" s="744"/>
      <c r="D97" s="741">
        <f t="shared" si="3"/>
        <v>0</v>
      </c>
      <c r="E97" s="544"/>
      <c r="I97"/>
    </row>
    <row r="98" spans="1:9" ht="15.75">
      <c r="A98" s="742"/>
      <c r="B98" s="739" t="s">
        <v>638</v>
      </c>
      <c r="C98" s="741">
        <f>SUM(C76:C97)</f>
        <v>237620</v>
      </c>
      <c r="D98" s="741">
        <f>SUM(D76:D97)</f>
        <v>237620</v>
      </c>
      <c r="E98" s="544"/>
      <c r="I98"/>
    </row>
    <row r="99" spans="1:5" ht="15">
      <c r="A99" s="544"/>
      <c r="B99" s="544"/>
      <c r="C99" s="544"/>
      <c r="D99" s="544"/>
      <c r="E99" s="544"/>
    </row>
    <row r="100" spans="1:5" ht="15">
      <c r="A100" s="544"/>
      <c r="B100" s="544"/>
      <c r="C100" s="544"/>
      <c r="D100" s="544"/>
      <c r="E100" s="544"/>
    </row>
    <row r="101" spans="1:9" ht="15.75">
      <c r="A101" s="657" t="s">
        <v>621</v>
      </c>
      <c r="B101" s="739" t="s">
        <v>1016</v>
      </c>
      <c r="C101" s="657" t="s">
        <v>1025</v>
      </c>
      <c r="D101" s="657" t="s">
        <v>1009</v>
      </c>
      <c r="E101" s="544"/>
      <c r="I101"/>
    </row>
    <row r="102" spans="1:9" ht="15.75">
      <c r="A102" s="657"/>
      <c r="B102" s="740"/>
      <c r="C102" s="657" t="s">
        <v>1035</v>
      </c>
      <c r="D102" s="657" t="s">
        <v>638</v>
      </c>
      <c r="E102" s="544"/>
      <c r="I102"/>
    </row>
    <row r="103" spans="1:9" ht="15.75">
      <c r="A103" s="71" t="s">
        <v>1003</v>
      </c>
      <c r="B103" s="544"/>
      <c r="C103" s="544"/>
      <c r="D103" s="544"/>
      <c r="E103" s="544"/>
      <c r="I103"/>
    </row>
    <row r="104" spans="1:9" ht="15.75">
      <c r="A104" s="706">
        <v>1</v>
      </c>
      <c r="B104" s="743" t="s">
        <v>875</v>
      </c>
      <c r="C104" s="744"/>
      <c r="D104" s="741">
        <f aca="true" t="shared" si="4" ref="D104:D114">SUM(C104:C104)</f>
        <v>0</v>
      </c>
      <c r="E104" s="544"/>
      <c r="I104"/>
    </row>
    <row r="105" spans="1:9" ht="15.75">
      <c r="A105" s="706">
        <v>2</v>
      </c>
      <c r="B105" s="743" t="s">
        <v>876</v>
      </c>
      <c r="C105" s="744">
        <f>10000-1600</f>
        <v>8400</v>
      </c>
      <c r="D105" s="741">
        <f t="shared" si="4"/>
        <v>8400</v>
      </c>
      <c r="E105" s="544"/>
      <c r="I105"/>
    </row>
    <row r="106" spans="1:9" ht="15.75">
      <c r="A106" s="706">
        <v>3</v>
      </c>
      <c r="B106" s="743" t="s">
        <v>877</v>
      </c>
      <c r="C106" s="744"/>
      <c r="D106" s="741">
        <f t="shared" si="4"/>
        <v>0</v>
      </c>
      <c r="E106" s="544"/>
      <c r="I106"/>
    </row>
    <row r="107" spans="1:9" ht="15.75">
      <c r="A107" s="706">
        <v>4</v>
      </c>
      <c r="B107" s="743" t="s">
        <v>878</v>
      </c>
      <c r="C107" s="744"/>
      <c r="D107" s="741">
        <f t="shared" si="4"/>
        <v>0</v>
      </c>
      <c r="E107" s="544"/>
      <c r="I107"/>
    </row>
    <row r="108" spans="1:9" ht="15.75">
      <c r="A108" s="706">
        <v>5</v>
      </c>
      <c r="B108" s="743" t="s">
        <v>879</v>
      </c>
      <c r="C108" s="744"/>
      <c r="D108" s="741">
        <f t="shared" si="4"/>
        <v>0</v>
      </c>
      <c r="E108" s="544"/>
      <c r="I108"/>
    </row>
    <row r="109" spans="1:9" ht="15.75">
      <c r="A109" s="706">
        <v>6</v>
      </c>
      <c r="B109" s="743" t="s">
        <v>880</v>
      </c>
      <c r="C109" s="744"/>
      <c r="D109" s="741">
        <f t="shared" si="4"/>
        <v>0</v>
      </c>
      <c r="E109" s="544"/>
      <c r="I109"/>
    </row>
    <row r="110" spans="1:9" ht="15.75">
      <c r="A110" s="706">
        <v>7</v>
      </c>
      <c r="B110" s="743" t="s">
        <v>893</v>
      </c>
      <c r="C110" s="744">
        <f>500-80</f>
        <v>420</v>
      </c>
      <c r="D110" s="741">
        <f t="shared" si="4"/>
        <v>420</v>
      </c>
      <c r="E110" s="544"/>
      <c r="I110"/>
    </row>
    <row r="111" spans="1:9" ht="15.75">
      <c r="A111" s="706">
        <v>8</v>
      </c>
      <c r="B111" s="743" t="s">
        <v>894</v>
      </c>
      <c r="C111" s="744"/>
      <c r="D111" s="741">
        <f t="shared" si="4"/>
        <v>0</v>
      </c>
      <c r="E111" s="544"/>
      <c r="I111"/>
    </row>
    <row r="112" spans="1:9" ht="15.75">
      <c r="A112" s="706">
        <v>9</v>
      </c>
      <c r="B112" s="743" t="s">
        <v>897</v>
      </c>
      <c r="C112" s="744"/>
      <c r="D112" s="741">
        <f t="shared" si="4"/>
        <v>0</v>
      </c>
      <c r="E112" s="544"/>
      <c r="I112"/>
    </row>
    <row r="113" spans="1:9" ht="15.75">
      <c r="A113" s="706">
        <v>10</v>
      </c>
      <c r="B113" s="743" t="s">
        <v>895</v>
      </c>
      <c r="C113" s="744">
        <f>6000-960</f>
        <v>5040</v>
      </c>
      <c r="D113" s="741">
        <f t="shared" si="4"/>
        <v>5040</v>
      </c>
      <c r="E113" s="544"/>
      <c r="I113"/>
    </row>
    <row r="114" spans="1:9" ht="15.75">
      <c r="A114" s="706" t="s">
        <v>911</v>
      </c>
      <c r="B114" s="743" t="s">
        <v>400</v>
      </c>
      <c r="C114" s="744">
        <f>15000-2400-4000</f>
        <v>8600</v>
      </c>
      <c r="D114" s="741">
        <f t="shared" si="4"/>
        <v>8600</v>
      </c>
      <c r="E114" s="544"/>
      <c r="I114"/>
    </row>
    <row r="115" spans="1:9" ht="15.75">
      <c r="A115" s="742"/>
      <c r="B115" s="739" t="s">
        <v>638</v>
      </c>
      <c r="C115" s="741">
        <f>SUM(C104:C114)</f>
        <v>22460</v>
      </c>
      <c r="D115" s="741">
        <f>SUM(D104:D114)</f>
        <v>22460</v>
      </c>
      <c r="E115" s="544"/>
      <c r="I115"/>
    </row>
    <row r="116" spans="1:7" ht="15">
      <c r="A116" s="750" t="s">
        <v>374</v>
      </c>
      <c r="B116" s="751"/>
      <c r="C116" s="752"/>
      <c r="D116" s="751"/>
      <c r="E116" s="752" t="s">
        <v>1142</v>
      </c>
      <c r="F116" s="723"/>
      <c r="G116" s="751"/>
    </row>
    <row r="117" spans="1:7" ht="15">
      <c r="A117" s="774" t="str">
        <f>+A45</f>
        <v>PRESUPUESTO 2008</v>
      </c>
      <c r="B117" s="774"/>
      <c r="C117" s="774"/>
      <c r="D117" s="774"/>
      <c r="E117" s="774"/>
      <c r="F117" s="774"/>
      <c r="G117" s="774"/>
    </row>
    <row r="118" spans="1:7" ht="15">
      <c r="A118" s="753" t="str">
        <f>+A46</f>
        <v>Juris.:</v>
      </c>
      <c r="B118" s="774" t="s">
        <v>1043</v>
      </c>
      <c r="C118" s="774"/>
      <c r="D118" s="751"/>
      <c r="E118" s="751"/>
      <c r="F118" s="751"/>
      <c r="G118" s="751"/>
    </row>
    <row r="119" spans="1:7" ht="15">
      <c r="A119" s="723" t="s">
        <v>1012</v>
      </c>
      <c r="B119" s="109"/>
      <c r="C119" s="722"/>
      <c r="D119" s="722"/>
      <c r="E119" s="722"/>
      <c r="F119" s="722"/>
      <c r="G119" s="722"/>
    </row>
    <row r="120" spans="1:7" ht="14.25">
      <c r="A120" s="722"/>
      <c r="B120" s="722"/>
      <c r="C120" s="722"/>
      <c r="D120" s="722"/>
      <c r="E120" s="722"/>
      <c r="F120" s="722"/>
      <c r="G120" s="722"/>
    </row>
    <row r="121" spans="1:7" ht="15">
      <c r="A121" s="724" t="s">
        <v>621</v>
      </c>
      <c r="B121" s="725" t="s">
        <v>996</v>
      </c>
      <c r="C121" s="724" t="s">
        <v>1014</v>
      </c>
      <c r="D121" s="724" t="s">
        <v>1037</v>
      </c>
      <c r="E121" s="724" t="s">
        <v>1038</v>
      </c>
      <c r="F121" s="724" t="s">
        <v>1039</v>
      </c>
      <c r="G121" s="724" t="s">
        <v>638</v>
      </c>
    </row>
    <row r="122" spans="1:7" ht="15">
      <c r="A122" s="724"/>
      <c r="B122" s="726"/>
      <c r="C122" s="724" t="s">
        <v>1040</v>
      </c>
      <c r="D122" s="724" t="s">
        <v>1041</v>
      </c>
      <c r="E122" s="724" t="s">
        <v>1042</v>
      </c>
      <c r="F122" s="724" t="s">
        <v>1044</v>
      </c>
      <c r="G122" s="724"/>
    </row>
    <row r="123" spans="1:7" ht="15">
      <c r="A123" s="727" t="s">
        <v>995</v>
      </c>
      <c r="B123" s="722"/>
      <c r="C123" s="722"/>
      <c r="D123" s="722"/>
      <c r="E123" s="722"/>
      <c r="F123" s="722"/>
      <c r="G123" s="722"/>
    </row>
    <row r="124" spans="1:7" ht="15">
      <c r="A124" s="728" t="s">
        <v>666</v>
      </c>
      <c r="B124" s="729" t="s">
        <v>667</v>
      </c>
      <c r="C124" s="730">
        <f>326540-58710</f>
        <v>267830</v>
      </c>
      <c r="D124" s="730">
        <v>663480</v>
      </c>
      <c r="E124" s="730">
        <v>343650</v>
      </c>
      <c r="F124" s="730">
        <v>134300</v>
      </c>
      <c r="G124" s="731">
        <f>SUM(C124:F124)</f>
        <v>1409260</v>
      </c>
    </row>
    <row r="125" spans="1:7" ht="15">
      <c r="A125" s="728" t="s">
        <v>668</v>
      </c>
      <c r="B125" s="729" t="s">
        <v>669</v>
      </c>
      <c r="C125" s="730">
        <f>87430-23820</f>
        <v>63610</v>
      </c>
      <c r="D125" s="730">
        <v>291620</v>
      </c>
      <c r="E125" s="730">
        <v>159370</v>
      </c>
      <c r="F125" s="730">
        <v>57140</v>
      </c>
      <c r="G125" s="731">
        <f aca="true" t="shared" si="5" ref="G125:G137">SUM(C125:F125)</f>
        <v>571740</v>
      </c>
    </row>
    <row r="126" spans="1:7" ht="15">
      <c r="A126" s="728" t="s">
        <v>670</v>
      </c>
      <c r="B126" s="729" t="s">
        <v>726</v>
      </c>
      <c r="C126" s="730">
        <v>0</v>
      </c>
      <c r="D126" s="730">
        <v>0</v>
      </c>
      <c r="E126" s="730">
        <v>0</v>
      </c>
      <c r="F126" s="730"/>
      <c r="G126" s="731">
        <f t="shared" si="5"/>
        <v>0</v>
      </c>
    </row>
    <row r="127" spans="1:7" ht="15">
      <c r="A127" s="728" t="s">
        <v>672</v>
      </c>
      <c r="B127" s="729" t="s">
        <v>671</v>
      </c>
      <c r="C127" s="730">
        <f>21600-9810</f>
        <v>11790</v>
      </c>
      <c r="D127" s="730">
        <v>0</v>
      </c>
      <c r="E127" s="730">
        <v>34430</v>
      </c>
      <c r="F127" s="730">
        <v>189350</v>
      </c>
      <c r="G127" s="731">
        <f t="shared" si="5"/>
        <v>235570</v>
      </c>
    </row>
    <row r="128" spans="1:7" ht="15">
      <c r="A128" s="728" t="s">
        <v>673</v>
      </c>
      <c r="B128" s="729" t="s">
        <v>674</v>
      </c>
      <c r="C128" s="730">
        <f>136800-38790</f>
        <v>98010</v>
      </c>
      <c r="D128" s="730">
        <v>575700</v>
      </c>
      <c r="E128" s="730">
        <v>243180</v>
      </c>
      <c r="F128" s="730">
        <v>14260</v>
      </c>
      <c r="G128" s="731">
        <f t="shared" si="5"/>
        <v>931150</v>
      </c>
    </row>
    <row r="129" spans="1:7" ht="15">
      <c r="A129" s="728" t="s">
        <v>675</v>
      </c>
      <c r="B129" s="729" t="s">
        <v>727</v>
      </c>
      <c r="C129" s="730">
        <f>3510-6180</f>
        <v>-2670</v>
      </c>
      <c r="D129" s="730">
        <v>97350</v>
      </c>
      <c r="E129" s="730">
        <v>34430</v>
      </c>
      <c r="F129" s="730">
        <v>19320</v>
      </c>
      <c r="G129" s="731">
        <f t="shared" si="5"/>
        <v>148430</v>
      </c>
    </row>
    <row r="130" spans="1:7" ht="15">
      <c r="A130" s="728" t="s">
        <v>677</v>
      </c>
      <c r="B130" s="729" t="s">
        <v>676</v>
      </c>
      <c r="C130" s="730">
        <f>49560-11600</f>
        <v>37960</v>
      </c>
      <c r="D130" s="730">
        <v>135940</v>
      </c>
      <c r="E130" s="730">
        <v>67830</v>
      </c>
      <c r="F130" s="730">
        <v>36900</v>
      </c>
      <c r="G130" s="731">
        <f t="shared" si="5"/>
        <v>278630</v>
      </c>
    </row>
    <row r="131" spans="1:9" ht="15">
      <c r="A131" s="728" t="s">
        <v>679</v>
      </c>
      <c r="B131" s="729" t="s">
        <v>678</v>
      </c>
      <c r="C131" s="730">
        <f>44660-14810</f>
        <v>29850</v>
      </c>
      <c r="D131" s="730">
        <v>170310</v>
      </c>
      <c r="E131" s="730">
        <v>119990</v>
      </c>
      <c r="F131" s="730">
        <v>35360</v>
      </c>
      <c r="G131" s="731">
        <f t="shared" si="5"/>
        <v>355510</v>
      </c>
      <c r="I131" s="9"/>
    </row>
    <row r="132" spans="1:9" ht="15">
      <c r="A132" s="728" t="s">
        <v>680</v>
      </c>
      <c r="B132" s="729" t="s">
        <v>728</v>
      </c>
      <c r="C132" s="730">
        <f>42030-3640</f>
        <v>38390</v>
      </c>
      <c r="D132" s="730">
        <v>30240</v>
      </c>
      <c r="E132" s="730">
        <v>11610</v>
      </c>
      <c r="F132" s="730">
        <v>7290</v>
      </c>
      <c r="G132" s="731">
        <f t="shared" si="5"/>
        <v>87530</v>
      </c>
      <c r="I132" s="9"/>
    </row>
    <row r="133" spans="1:9" ht="15">
      <c r="A133" s="728" t="s">
        <v>681</v>
      </c>
      <c r="B133" s="729" t="s">
        <v>730</v>
      </c>
      <c r="C133" s="730">
        <f>50490-14310</f>
        <v>36180</v>
      </c>
      <c r="D133" s="730">
        <v>212510</v>
      </c>
      <c r="E133" s="730">
        <v>89680</v>
      </c>
      <c r="F133" s="730">
        <v>5270</v>
      </c>
      <c r="G133" s="731">
        <f t="shared" si="5"/>
        <v>343640</v>
      </c>
      <c r="I133" s="9"/>
    </row>
    <row r="134" spans="1:9" ht="15">
      <c r="A134" s="728" t="s">
        <v>725</v>
      </c>
      <c r="B134" s="729" t="s">
        <v>731</v>
      </c>
      <c r="C134" s="730">
        <f>74320-16320</f>
        <v>58000</v>
      </c>
      <c r="D134" s="730">
        <v>189140</v>
      </c>
      <c r="E134" s="730">
        <v>97770</v>
      </c>
      <c r="F134" s="730">
        <v>46810</v>
      </c>
      <c r="G134" s="731">
        <f t="shared" si="5"/>
        <v>391720</v>
      </c>
      <c r="I134" s="9"/>
    </row>
    <row r="135" spans="1:9" ht="15">
      <c r="A135" s="728" t="s">
        <v>729</v>
      </c>
      <c r="B135" s="729" t="s">
        <v>732</v>
      </c>
      <c r="C135" s="730">
        <f>12890-9190</f>
        <v>3700</v>
      </c>
      <c r="D135" s="730">
        <v>123200</v>
      </c>
      <c r="E135" s="730">
        <v>63330</v>
      </c>
      <c r="F135" s="730">
        <v>30460</v>
      </c>
      <c r="G135" s="731">
        <f t="shared" si="5"/>
        <v>220690</v>
      </c>
      <c r="I135" s="9"/>
    </row>
    <row r="136" spans="1:9" ht="15">
      <c r="A136" s="728" t="s">
        <v>733</v>
      </c>
      <c r="B136" s="729" t="s">
        <v>735</v>
      </c>
      <c r="C136" s="730">
        <f>7910-1760</f>
        <v>6150</v>
      </c>
      <c r="D136" s="730">
        <v>20570</v>
      </c>
      <c r="E136" s="730">
        <v>10580</v>
      </c>
      <c r="F136" s="730">
        <v>5070</v>
      </c>
      <c r="G136" s="731">
        <f t="shared" si="5"/>
        <v>42370</v>
      </c>
      <c r="I136" s="9"/>
    </row>
    <row r="137" spans="1:9" ht="15">
      <c r="A137" s="728" t="s">
        <v>734</v>
      </c>
      <c r="B137" s="729" t="s">
        <v>736</v>
      </c>
      <c r="C137" s="730">
        <v>0</v>
      </c>
      <c r="D137" s="730">
        <v>0</v>
      </c>
      <c r="E137" s="730"/>
      <c r="F137" s="730"/>
      <c r="G137" s="731">
        <f t="shared" si="5"/>
        <v>0</v>
      </c>
      <c r="I137" s="9"/>
    </row>
    <row r="138" spans="1:7" ht="15">
      <c r="A138" s="732"/>
      <c r="B138" s="725" t="s">
        <v>638</v>
      </c>
      <c r="C138" s="731">
        <f>SUM(C124:C137)</f>
        <v>648800</v>
      </c>
      <c r="D138" s="731">
        <f>SUM(D124:D137)</f>
        <v>2510060</v>
      </c>
      <c r="E138" s="731">
        <f>SUM(E124:E137)</f>
        <v>1275850</v>
      </c>
      <c r="F138" s="731">
        <f>SUM(F124:F137)</f>
        <v>581530</v>
      </c>
      <c r="G138" s="731">
        <f>SUM(G124:G137)</f>
        <v>5016240</v>
      </c>
    </row>
    <row r="139" spans="1:7" ht="14.25">
      <c r="A139" s="722"/>
      <c r="B139" s="722"/>
      <c r="C139" s="722"/>
      <c r="D139" s="722"/>
      <c r="E139" s="722"/>
      <c r="F139" s="722"/>
      <c r="G139" s="722"/>
    </row>
    <row r="140" spans="1:7" ht="15">
      <c r="A140" s="724" t="s">
        <v>621</v>
      </c>
      <c r="B140" s="725" t="s">
        <v>998</v>
      </c>
      <c r="C140" s="724" t="s">
        <v>1014</v>
      </c>
      <c r="D140" s="724" t="s">
        <v>1037</v>
      </c>
      <c r="E140" s="724" t="s">
        <v>1038</v>
      </c>
      <c r="F140" s="724" t="s">
        <v>1039</v>
      </c>
      <c r="G140" s="724" t="s">
        <v>638</v>
      </c>
    </row>
    <row r="141" spans="1:7" ht="15">
      <c r="A141" s="724"/>
      <c r="B141" s="726"/>
      <c r="C141" s="724" t="s">
        <v>1040</v>
      </c>
      <c r="D141" s="724" t="s">
        <v>1041</v>
      </c>
      <c r="E141" s="724" t="s">
        <v>1042</v>
      </c>
      <c r="F141" s="724" t="s">
        <v>1044</v>
      </c>
      <c r="G141" s="724"/>
    </row>
    <row r="142" spans="1:7" ht="15">
      <c r="A142" s="727" t="s">
        <v>999</v>
      </c>
      <c r="B142" s="722"/>
      <c r="C142" s="722"/>
      <c r="D142" s="722"/>
      <c r="E142" s="722"/>
      <c r="F142" s="722"/>
      <c r="G142" s="722"/>
    </row>
    <row r="143" spans="1:9" ht="15">
      <c r="A143" s="728" t="s">
        <v>666</v>
      </c>
      <c r="B143" s="729" t="s">
        <v>667</v>
      </c>
      <c r="C143" s="730">
        <f>21020-2630</f>
        <v>18390</v>
      </c>
      <c r="D143" s="730">
        <v>20590</v>
      </c>
      <c r="E143" s="730">
        <v>6250</v>
      </c>
      <c r="F143" s="730">
        <v>18060</v>
      </c>
      <c r="G143" s="731">
        <f>SUM(C143:F143)</f>
        <v>63290</v>
      </c>
      <c r="I143" s="9"/>
    </row>
    <row r="144" spans="1:9" ht="15">
      <c r="A144" s="728" t="s">
        <v>668</v>
      </c>
      <c r="B144" s="729" t="s">
        <v>669</v>
      </c>
      <c r="C144" s="730">
        <f>1180-250</f>
        <v>930</v>
      </c>
      <c r="D144" s="730">
        <v>2730</v>
      </c>
      <c r="E144" s="730">
        <v>1270</v>
      </c>
      <c r="F144" s="730">
        <v>1160</v>
      </c>
      <c r="G144" s="731">
        <f aca="true" t="shared" si="6" ref="G144:G155">SUM(C144:F144)</f>
        <v>6090</v>
      </c>
      <c r="I144" s="9"/>
    </row>
    <row r="145" spans="1:9" ht="15">
      <c r="A145" s="728" t="s">
        <v>670</v>
      </c>
      <c r="B145" s="729" t="s">
        <v>726</v>
      </c>
      <c r="C145" s="730">
        <v>0</v>
      </c>
      <c r="D145" s="730">
        <v>0</v>
      </c>
      <c r="E145" s="730">
        <v>0</v>
      </c>
      <c r="F145" s="730">
        <v>0</v>
      </c>
      <c r="G145" s="731">
        <f t="shared" si="6"/>
        <v>0</v>
      </c>
      <c r="I145" s="9"/>
    </row>
    <row r="146" spans="1:9" ht="15">
      <c r="A146" s="728" t="s">
        <v>672</v>
      </c>
      <c r="B146" s="729" t="s">
        <v>671</v>
      </c>
      <c r="C146" s="730">
        <v>0</v>
      </c>
      <c r="D146" s="730">
        <v>0</v>
      </c>
      <c r="E146" s="730">
        <v>0</v>
      </c>
      <c r="F146" s="730">
        <v>0</v>
      </c>
      <c r="G146" s="731">
        <f t="shared" si="6"/>
        <v>0</v>
      </c>
      <c r="I146" s="9"/>
    </row>
    <row r="147" spans="1:9" ht="15">
      <c r="A147" s="728" t="s">
        <v>673</v>
      </c>
      <c r="B147" s="729" t="s">
        <v>674</v>
      </c>
      <c r="C147" s="730">
        <f>58270-6940</f>
        <v>51330</v>
      </c>
      <c r="D147" s="730">
        <v>56370</v>
      </c>
      <c r="E147" s="730">
        <v>18310</v>
      </c>
      <c r="F147" s="730">
        <v>40690</v>
      </c>
      <c r="G147" s="731">
        <f t="shared" si="6"/>
        <v>166700</v>
      </c>
      <c r="I147" s="9"/>
    </row>
    <row r="148" spans="1:9" ht="15">
      <c r="A148" s="728" t="s">
        <v>675</v>
      </c>
      <c r="B148" s="729" t="s">
        <v>727</v>
      </c>
      <c r="C148" s="730">
        <v>0</v>
      </c>
      <c r="D148" s="730">
        <f>38070-2280</f>
        <v>35790</v>
      </c>
      <c r="E148" s="730">
        <v>19030</v>
      </c>
      <c r="F148" s="730">
        <v>0</v>
      </c>
      <c r="G148" s="731">
        <f t="shared" si="6"/>
        <v>54820</v>
      </c>
      <c r="I148" s="9"/>
    </row>
    <row r="149" spans="1:9" ht="15">
      <c r="A149" s="728" t="s">
        <v>677</v>
      </c>
      <c r="B149" s="729" t="s">
        <v>676</v>
      </c>
      <c r="C149" s="730">
        <f>6500-910</f>
        <v>5590</v>
      </c>
      <c r="D149" s="730">
        <v>7040</v>
      </c>
      <c r="E149" s="730">
        <v>4350</v>
      </c>
      <c r="F149" s="730">
        <v>4920</v>
      </c>
      <c r="G149" s="731">
        <f t="shared" si="6"/>
        <v>21900</v>
      </c>
      <c r="I149" s="9"/>
    </row>
    <row r="150" spans="1:9" ht="15">
      <c r="A150" s="728" t="s">
        <v>679</v>
      </c>
      <c r="B150" s="729" t="s">
        <v>678</v>
      </c>
      <c r="C150" s="730">
        <f>22670-3380</f>
        <v>19290</v>
      </c>
      <c r="D150" s="730">
        <v>16580</v>
      </c>
      <c r="E150" s="730">
        <v>22670</v>
      </c>
      <c r="F150" s="730">
        <v>22670</v>
      </c>
      <c r="G150" s="731">
        <f t="shared" si="6"/>
        <v>81210</v>
      </c>
      <c r="I150" s="9"/>
    </row>
    <row r="151" spans="1:9" ht="15">
      <c r="A151" s="728" t="s">
        <v>680</v>
      </c>
      <c r="B151" s="729" t="s">
        <v>728</v>
      </c>
      <c r="C151" s="730">
        <v>0</v>
      </c>
      <c r="D151" s="730">
        <v>0</v>
      </c>
      <c r="E151" s="730">
        <v>0</v>
      </c>
      <c r="F151" s="730">
        <v>0</v>
      </c>
      <c r="G151" s="731">
        <f t="shared" si="6"/>
        <v>0</v>
      </c>
      <c r="I151" s="9"/>
    </row>
    <row r="152" spans="1:9" ht="15">
      <c r="A152" s="728" t="s">
        <v>681</v>
      </c>
      <c r="B152" s="729" t="s">
        <v>730</v>
      </c>
      <c r="C152" s="730">
        <f>16630-2030</f>
        <v>14600</v>
      </c>
      <c r="D152" s="730">
        <v>16630</v>
      </c>
      <c r="E152" s="730">
        <v>5430</v>
      </c>
      <c r="F152" s="730">
        <v>12080</v>
      </c>
      <c r="G152" s="731">
        <f t="shared" si="6"/>
        <v>48740</v>
      </c>
      <c r="I152" s="9"/>
    </row>
    <row r="153" spans="1:9" ht="15">
      <c r="A153" s="728" t="s">
        <v>725</v>
      </c>
      <c r="B153" s="729" t="s">
        <v>731</v>
      </c>
      <c r="C153" s="730">
        <f>11320-1340</f>
        <v>9980</v>
      </c>
      <c r="D153" s="730">
        <v>11270</v>
      </c>
      <c r="E153" s="730">
        <v>3660</v>
      </c>
      <c r="F153" s="730">
        <v>7430</v>
      </c>
      <c r="G153" s="731">
        <f t="shared" si="6"/>
        <v>32340</v>
      </c>
      <c r="I153" s="9"/>
    </row>
    <row r="154" spans="1:9" ht="15">
      <c r="A154" s="728" t="s">
        <v>729</v>
      </c>
      <c r="B154" s="729" t="s">
        <v>732</v>
      </c>
      <c r="C154" s="730">
        <f>6550-870</f>
        <v>5680</v>
      </c>
      <c r="D154" s="730">
        <v>7750</v>
      </c>
      <c r="E154" s="730">
        <v>2470</v>
      </c>
      <c r="F154" s="730">
        <v>5090</v>
      </c>
      <c r="G154" s="731">
        <f t="shared" si="6"/>
        <v>20990</v>
      </c>
      <c r="I154" s="9"/>
    </row>
    <row r="155" spans="1:9" ht="15">
      <c r="A155" s="728" t="s">
        <v>733</v>
      </c>
      <c r="B155" s="729" t="s">
        <v>735</v>
      </c>
      <c r="C155" s="730">
        <f>1130-150</f>
        <v>980</v>
      </c>
      <c r="D155" s="730">
        <v>1290</v>
      </c>
      <c r="E155" s="730">
        <v>450</v>
      </c>
      <c r="F155" s="730">
        <v>940</v>
      </c>
      <c r="G155" s="731">
        <f t="shared" si="6"/>
        <v>3660</v>
      </c>
      <c r="I155" s="9"/>
    </row>
    <row r="156" spans="1:9" ht="15">
      <c r="A156" s="728" t="s">
        <v>734</v>
      </c>
      <c r="B156" s="729" t="s">
        <v>736</v>
      </c>
      <c r="C156" s="730">
        <v>0</v>
      </c>
      <c r="D156" s="730">
        <v>0</v>
      </c>
      <c r="E156" s="730">
        <v>0</v>
      </c>
      <c r="F156" s="730">
        <v>0</v>
      </c>
      <c r="G156" s="731">
        <f>SUM(C156:F156)</f>
        <v>0</v>
      </c>
      <c r="I156" s="9"/>
    </row>
    <row r="157" spans="1:8" ht="15">
      <c r="A157" s="732"/>
      <c r="B157" s="725" t="s">
        <v>638</v>
      </c>
      <c r="C157" s="731">
        <f>SUM(C143:C156)</f>
        <v>126770</v>
      </c>
      <c r="D157" s="731">
        <f>SUM(D143:D156)</f>
        <v>176040</v>
      </c>
      <c r="E157" s="731">
        <f>SUM(E143:E156)</f>
        <v>83890</v>
      </c>
      <c r="F157" s="731">
        <f>SUM(F143:F156)</f>
        <v>113040</v>
      </c>
      <c r="G157" s="731">
        <f>SUM(G143:G156)</f>
        <v>499740</v>
      </c>
      <c r="H157" s="9"/>
    </row>
    <row r="158" spans="1:7" ht="15">
      <c r="A158" s="722" t="str">
        <f>+A116</f>
        <v> </v>
      </c>
      <c r="B158" s="722"/>
      <c r="C158" s="722"/>
      <c r="D158" s="722"/>
      <c r="E158" s="723" t="s">
        <v>1143</v>
      </c>
      <c r="F158" s="723"/>
      <c r="G158" s="722"/>
    </row>
    <row r="159" spans="1:7" ht="15">
      <c r="A159" s="774" t="str">
        <f>+A117</f>
        <v>PRESUPUESTO 2008</v>
      </c>
      <c r="B159" s="774"/>
      <c r="C159" s="774"/>
      <c r="D159" s="774"/>
      <c r="E159" s="774"/>
      <c r="F159" s="774"/>
      <c r="G159" s="774"/>
    </row>
    <row r="160" spans="1:7" ht="15">
      <c r="A160" s="723" t="str">
        <f>+A118</f>
        <v>Juris.:</v>
      </c>
      <c r="B160" s="761" t="s">
        <v>1043</v>
      </c>
      <c r="C160" s="761"/>
      <c r="D160" s="722"/>
      <c r="E160" s="722"/>
      <c r="F160" s="722"/>
      <c r="G160" s="722"/>
    </row>
    <row r="161" spans="1:7" ht="15">
      <c r="A161" s="723" t="s">
        <v>1012</v>
      </c>
      <c r="B161" s="109"/>
      <c r="C161" s="722"/>
      <c r="D161" s="722"/>
      <c r="E161" s="722"/>
      <c r="F161" s="722"/>
      <c r="G161" s="722"/>
    </row>
    <row r="162" spans="1:7" ht="14.25">
      <c r="A162" s="722"/>
      <c r="B162" s="722"/>
      <c r="C162" s="722"/>
      <c r="D162" s="722"/>
      <c r="E162" s="722"/>
      <c r="F162" s="722"/>
      <c r="G162" s="722"/>
    </row>
    <row r="163" spans="1:7" ht="15">
      <c r="A163" s="724" t="s">
        <v>621</v>
      </c>
      <c r="B163" s="725" t="s">
        <v>1001</v>
      </c>
      <c r="C163" s="724" t="s">
        <v>1014</v>
      </c>
      <c r="D163" s="724" t="s">
        <v>1037</v>
      </c>
      <c r="E163" s="724" t="s">
        <v>1038</v>
      </c>
      <c r="F163" s="724" t="s">
        <v>1039</v>
      </c>
      <c r="G163" s="724" t="s">
        <v>638</v>
      </c>
    </row>
    <row r="164" spans="1:9" ht="15">
      <c r="A164" s="724"/>
      <c r="B164" s="726"/>
      <c r="C164" s="724" t="s">
        <v>1040</v>
      </c>
      <c r="D164" s="724" t="s">
        <v>1041</v>
      </c>
      <c r="E164" s="724" t="s">
        <v>1042</v>
      </c>
      <c r="F164" s="724" t="s">
        <v>1044</v>
      </c>
      <c r="G164" s="724"/>
      <c r="I164" s="564"/>
    </row>
    <row r="165" spans="1:7" ht="15">
      <c r="A165" s="727" t="s">
        <v>1000</v>
      </c>
      <c r="B165" s="722"/>
      <c r="C165" s="722"/>
      <c r="D165" s="722"/>
      <c r="E165" s="722"/>
      <c r="F165" s="722"/>
      <c r="G165" s="722"/>
    </row>
    <row r="166" spans="1:9" ht="15">
      <c r="A166" s="749">
        <v>1</v>
      </c>
      <c r="B166" s="729" t="s">
        <v>834</v>
      </c>
      <c r="C166" s="730"/>
      <c r="D166" s="730"/>
      <c r="E166" s="730"/>
      <c r="F166" s="730"/>
      <c r="G166" s="731">
        <f>SUM(C166:F166)</f>
        <v>0</v>
      </c>
      <c r="I166" s="9"/>
    </row>
    <row r="167" spans="1:9" ht="15">
      <c r="A167" s="749">
        <v>2</v>
      </c>
      <c r="B167" s="729" t="s">
        <v>835</v>
      </c>
      <c r="C167" s="730"/>
      <c r="D167" s="730"/>
      <c r="E167" s="730"/>
      <c r="F167" s="730"/>
      <c r="G167" s="731">
        <f aca="true" t="shared" si="7" ref="G167:G184">SUM(C167:F167)</f>
        <v>0</v>
      </c>
      <c r="I167" s="9"/>
    </row>
    <row r="168" spans="1:9" ht="15">
      <c r="A168" s="749">
        <v>3</v>
      </c>
      <c r="B168" s="729" t="s">
        <v>836</v>
      </c>
      <c r="C168" s="730"/>
      <c r="D168" s="730"/>
      <c r="E168" s="730"/>
      <c r="F168" s="730"/>
      <c r="G168" s="731">
        <f t="shared" si="7"/>
        <v>0</v>
      </c>
      <c r="I168" s="9"/>
    </row>
    <row r="169" spans="1:9" ht="15">
      <c r="A169" s="749">
        <v>4</v>
      </c>
      <c r="B169" s="729" t="s">
        <v>837</v>
      </c>
      <c r="C169" s="730">
        <f>60000-9600</f>
        <v>50400</v>
      </c>
      <c r="D169" s="730"/>
      <c r="E169" s="730"/>
      <c r="F169" s="730"/>
      <c r="G169" s="731">
        <f t="shared" si="7"/>
        <v>50400</v>
      </c>
      <c r="I169" s="9"/>
    </row>
    <row r="170" spans="1:9" ht="15">
      <c r="A170" s="749">
        <v>5</v>
      </c>
      <c r="B170" s="729" t="s">
        <v>838</v>
      </c>
      <c r="C170" s="730">
        <f>1500-240</f>
        <v>1260</v>
      </c>
      <c r="D170" s="730"/>
      <c r="E170" s="730"/>
      <c r="F170" s="730"/>
      <c r="G170" s="731">
        <f t="shared" si="7"/>
        <v>1260</v>
      </c>
      <c r="I170" s="9"/>
    </row>
    <row r="171" spans="1:9" ht="15">
      <c r="A171" s="749">
        <v>6</v>
      </c>
      <c r="B171" s="729" t="s">
        <v>839</v>
      </c>
      <c r="C171" s="730"/>
      <c r="D171" s="730"/>
      <c r="E171" s="730"/>
      <c r="F171" s="730"/>
      <c r="G171" s="731">
        <f t="shared" si="7"/>
        <v>0</v>
      </c>
      <c r="I171" s="9"/>
    </row>
    <row r="172" spans="1:9" ht="15">
      <c r="A172" s="749">
        <v>7</v>
      </c>
      <c r="B172" s="729" t="s">
        <v>840</v>
      </c>
      <c r="C172" s="730"/>
      <c r="D172" s="730"/>
      <c r="E172" s="730"/>
      <c r="F172" s="730"/>
      <c r="G172" s="731">
        <f t="shared" si="7"/>
        <v>0</v>
      </c>
      <c r="I172" s="9"/>
    </row>
    <row r="173" spans="1:9" ht="15">
      <c r="A173" s="749">
        <v>8</v>
      </c>
      <c r="B173" s="729" t="s">
        <v>842</v>
      </c>
      <c r="C173" s="730"/>
      <c r="D173" s="730"/>
      <c r="E173" s="730"/>
      <c r="F173" s="730"/>
      <c r="G173" s="731">
        <f t="shared" si="7"/>
        <v>0</v>
      </c>
      <c r="I173" s="9"/>
    </row>
    <row r="174" spans="1:9" ht="15">
      <c r="A174" s="749">
        <v>9</v>
      </c>
      <c r="B174" s="729" t="s">
        <v>843</v>
      </c>
      <c r="C174" s="730">
        <f>800-100</f>
        <v>700</v>
      </c>
      <c r="D174" s="730"/>
      <c r="E174" s="730"/>
      <c r="F174" s="730"/>
      <c r="G174" s="731">
        <f t="shared" si="7"/>
        <v>700</v>
      </c>
      <c r="I174" s="9"/>
    </row>
    <row r="175" spans="1:9" ht="15">
      <c r="A175" s="749">
        <v>10</v>
      </c>
      <c r="B175" s="729" t="s">
        <v>844</v>
      </c>
      <c r="C175" s="730"/>
      <c r="D175" s="730"/>
      <c r="E175" s="730"/>
      <c r="F175" s="730"/>
      <c r="G175" s="731">
        <f t="shared" si="7"/>
        <v>0</v>
      </c>
      <c r="I175" s="9"/>
    </row>
    <row r="176" spans="1:9" ht="15">
      <c r="A176" s="749">
        <v>11</v>
      </c>
      <c r="B176" s="729" t="s">
        <v>845</v>
      </c>
      <c r="C176" s="730"/>
      <c r="D176" s="730">
        <v>125000</v>
      </c>
      <c r="E176" s="730">
        <f>751000-100000-201000</f>
        <v>450000</v>
      </c>
      <c r="F176" s="730">
        <f>250000-70560</f>
        <v>179440</v>
      </c>
      <c r="G176" s="731">
        <f t="shared" si="7"/>
        <v>754440</v>
      </c>
      <c r="I176" s="9"/>
    </row>
    <row r="177" spans="1:9" ht="15">
      <c r="A177" s="749">
        <v>12</v>
      </c>
      <c r="B177" s="729" t="s">
        <v>846</v>
      </c>
      <c r="C177" s="730"/>
      <c r="D177" s="730"/>
      <c r="E177" s="730"/>
      <c r="F177" s="730"/>
      <c r="G177" s="731">
        <f t="shared" si="7"/>
        <v>0</v>
      </c>
      <c r="I177" s="9"/>
    </row>
    <row r="178" spans="1:9" ht="15">
      <c r="A178" s="749">
        <v>13</v>
      </c>
      <c r="B178" s="729" t="s">
        <v>847</v>
      </c>
      <c r="C178" s="730"/>
      <c r="D178" s="730"/>
      <c r="E178" s="730"/>
      <c r="F178" s="730"/>
      <c r="G178" s="731">
        <f t="shared" si="7"/>
        <v>0</v>
      </c>
      <c r="I178" s="9"/>
    </row>
    <row r="179" spans="1:9" ht="15">
      <c r="A179" s="749">
        <v>14</v>
      </c>
      <c r="B179" s="729" t="s">
        <v>848</v>
      </c>
      <c r="C179" s="730"/>
      <c r="D179" s="730"/>
      <c r="E179" s="730"/>
      <c r="F179" s="730"/>
      <c r="G179" s="731">
        <f t="shared" si="7"/>
        <v>0</v>
      </c>
      <c r="I179" s="9"/>
    </row>
    <row r="180" spans="1:9" ht="15">
      <c r="A180" s="749">
        <v>15</v>
      </c>
      <c r="B180" s="729" t="s">
        <v>849</v>
      </c>
      <c r="C180" s="730"/>
      <c r="D180" s="730"/>
      <c r="E180" s="730"/>
      <c r="F180" s="730"/>
      <c r="G180" s="731">
        <f t="shared" si="7"/>
        <v>0</v>
      </c>
      <c r="I180" s="9"/>
    </row>
    <row r="181" spans="1:9" ht="15">
      <c r="A181" s="749">
        <v>16</v>
      </c>
      <c r="B181" s="729" t="s">
        <v>850</v>
      </c>
      <c r="C181" s="730"/>
      <c r="D181" s="730"/>
      <c r="E181" s="730"/>
      <c r="F181" s="730"/>
      <c r="G181" s="731">
        <f t="shared" si="7"/>
        <v>0</v>
      </c>
      <c r="I181" s="9"/>
    </row>
    <row r="182" spans="1:9" ht="15">
      <c r="A182" s="749">
        <v>17</v>
      </c>
      <c r="B182" s="729" t="s">
        <v>851</v>
      </c>
      <c r="C182" s="730"/>
      <c r="D182" s="730"/>
      <c r="E182" s="730"/>
      <c r="F182" s="730"/>
      <c r="G182" s="731">
        <f t="shared" si="7"/>
        <v>0</v>
      </c>
      <c r="I182" s="9"/>
    </row>
    <row r="183" spans="1:9" ht="15">
      <c r="A183" s="749">
        <v>18</v>
      </c>
      <c r="B183" s="729" t="s">
        <v>852</v>
      </c>
      <c r="C183" s="730"/>
      <c r="D183" s="730"/>
      <c r="E183" s="730"/>
      <c r="F183" s="730"/>
      <c r="G183" s="731">
        <f t="shared" si="7"/>
        <v>0</v>
      </c>
      <c r="I183" s="9"/>
    </row>
    <row r="184" spans="1:7" ht="15">
      <c r="A184" s="749">
        <v>19</v>
      </c>
      <c r="B184" s="729" t="s">
        <v>853</v>
      </c>
      <c r="C184" s="730"/>
      <c r="D184" s="730"/>
      <c r="E184" s="730"/>
      <c r="F184" s="730"/>
      <c r="G184" s="731">
        <f t="shared" si="7"/>
        <v>0</v>
      </c>
    </row>
    <row r="185" spans="1:7" ht="15">
      <c r="A185" s="732"/>
      <c r="B185" s="725" t="s">
        <v>638</v>
      </c>
      <c r="C185" s="731">
        <f>SUM(C166:C184)</f>
        <v>52360</v>
      </c>
      <c r="D185" s="731">
        <f>SUM(D166:D184)</f>
        <v>125000</v>
      </c>
      <c r="E185" s="731">
        <f>SUM(E166:E184)</f>
        <v>450000</v>
      </c>
      <c r="F185" s="731">
        <f>SUM(F166:F184)</f>
        <v>179440</v>
      </c>
      <c r="G185" s="731">
        <f>SUM(G166:G184)</f>
        <v>806800</v>
      </c>
    </row>
    <row r="186" spans="1:7" ht="14.25">
      <c r="A186" s="722"/>
      <c r="B186" s="722"/>
      <c r="C186" s="722"/>
      <c r="D186" s="722"/>
      <c r="E186" s="722"/>
      <c r="F186" s="722"/>
      <c r="G186" s="722"/>
    </row>
    <row r="187" spans="1:7" ht="15">
      <c r="A187" s="724" t="s">
        <v>621</v>
      </c>
      <c r="B187" s="725" t="s">
        <v>990</v>
      </c>
      <c r="C187" s="724" t="s">
        <v>1014</v>
      </c>
      <c r="D187" s="724" t="s">
        <v>1037</v>
      </c>
      <c r="E187" s="724" t="s">
        <v>1038</v>
      </c>
      <c r="F187" s="724" t="s">
        <v>1039</v>
      </c>
      <c r="G187" s="724" t="s">
        <v>638</v>
      </c>
    </row>
    <row r="188" spans="1:7" ht="15">
      <c r="A188" s="724"/>
      <c r="B188" s="726"/>
      <c r="C188" s="724" t="s">
        <v>1040</v>
      </c>
      <c r="D188" s="724" t="s">
        <v>1041</v>
      </c>
      <c r="E188" s="724" t="s">
        <v>1042</v>
      </c>
      <c r="F188" s="724" t="s">
        <v>1044</v>
      </c>
      <c r="G188" s="724"/>
    </row>
    <row r="189" spans="1:14" ht="15">
      <c r="A189" s="727" t="s">
        <v>1002</v>
      </c>
      <c r="B189" s="722"/>
      <c r="C189" s="722"/>
      <c r="D189" s="722"/>
      <c r="E189" s="722"/>
      <c r="F189" s="722"/>
      <c r="G189" s="722"/>
      <c r="J189" s="48"/>
      <c r="K189" s="48"/>
      <c r="L189" s="48"/>
      <c r="M189" s="48"/>
      <c r="N189" s="48"/>
    </row>
    <row r="190" spans="1:9" ht="15">
      <c r="A190" s="749">
        <v>1</v>
      </c>
      <c r="B190" s="729" t="s">
        <v>854</v>
      </c>
      <c r="C190" s="730"/>
      <c r="D190" s="730"/>
      <c r="E190" s="730"/>
      <c r="F190" s="730"/>
      <c r="G190" s="731">
        <f>SUM(C190:F190)</f>
        <v>0</v>
      </c>
      <c r="I190" s="9"/>
    </row>
    <row r="191" spans="1:9" ht="15">
      <c r="A191" s="749">
        <v>2</v>
      </c>
      <c r="B191" s="729" t="s">
        <v>855</v>
      </c>
      <c r="C191" s="730"/>
      <c r="D191" s="730"/>
      <c r="E191" s="730"/>
      <c r="F191" s="730"/>
      <c r="G191" s="731">
        <f aca="true" t="shared" si="8" ref="G191:G211">SUM(C191:F191)</f>
        <v>0</v>
      </c>
      <c r="I191" s="9"/>
    </row>
    <row r="192" spans="1:9" ht="15">
      <c r="A192" s="749">
        <v>3</v>
      </c>
      <c r="B192" s="729" t="s">
        <v>856</v>
      </c>
      <c r="C192" s="730"/>
      <c r="D192" s="730"/>
      <c r="E192" s="730"/>
      <c r="F192" s="730"/>
      <c r="G192" s="731">
        <f t="shared" si="8"/>
        <v>0</v>
      </c>
      <c r="I192" s="9"/>
    </row>
    <row r="193" spans="1:9" ht="15">
      <c r="A193" s="749">
        <v>4</v>
      </c>
      <c r="B193" s="729" t="s">
        <v>857</v>
      </c>
      <c r="C193" s="730"/>
      <c r="D193" s="730"/>
      <c r="E193" s="730"/>
      <c r="F193" s="730"/>
      <c r="G193" s="731">
        <f t="shared" si="8"/>
        <v>0</v>
      </c>
      <c r="I193" s="9"/>
    </row>
    <row r="194" spans="1:9" ht="15">
      <c r="A194" s="749">
        <v>5</v>
      </c>
      <c r="B194" s="729" t="s">
        <v>858</v>
      </c>
      <c r="C194" s="730"/>
      <c r="D194" s="730"/>
      <c r="E194" s="730"/>
      <c r="F194" s="730"/>
      <c r="G194" s="731">
        <f t="shared" si="8"/>
        <v>0</v>
      </c>
      <c r="I194" s="9"/>
    </row>
    <row r="195" spans="1:9" ht="15">
      <c r="A195" s="749">
        <v>6</v>
      </c>
      <c r="B195" s="729" t="s">
        <v>859</v>
      </c>
      <c r="C195" s="730"/>
      <c r="D195" s="730"/>
      <c r="E195" s="730"/>
      <c r="F195" s="730"/>
      <c r="G195" s="731">
        <f t="shared" si="8"/>
        <v>0</v>
      </c>
      <c r="I195" s="9"/>
    </row>
    <row r="196" spans="1:9" ht="15">
      <c r="A196" s="749">
        <v>7</v>
      </c>
      <c r="B196" s="729" t="s">
        <v>860</v>
      </c>
      <c r="C196" s="730">
        <v>23760</v>
      </c>
      <c r="D196" s="730">
        <f>326070-33040</f>
        <v>293030</v>
      </c>
      <c r="E196" s="730">
        <f>1059900-200000-113000</f>
        <v>746900</v>
      </c>
      <c r="F196" s="730">
        <v>46800</v>
      </c>
      <c r="G196" s="731">
        <f t="shared" si="8"/>
        <v>1110490</v>
      </c>
      <c r="I196" s="9"/>
    </row>
    <row r="197" spans="1:9" ht="15">
      <c r="A197" s="749">
        <v>8</v>
      </c>
      <c r="B197" s="729" t="s">
        <v>861</v>
      </c>
      <c r="C197" s="730"/>
      <c r="D197" s="730"/>
      <c r="E197" s="730"/>
      <c r="F197" s="730"/>
      <c r="G197" s="731">
        <f t="shared" si="8"/>
        <v>0</v>
      </c>
      <c r="I197" s="9"/>
    </row>
    <row r="198" spans="1:9" ht="15">
      <c r="A198" s="749">
        <v>9</v>
      </c>
      <c r="B198" s="729" t="s">
        <v>862</v>
      </c>
      <c r="C198" s="730"/>
      <c r="D198" s="730"/>
      <c r="E198" s="730"/>
      <c r="F198" s="730"/>
      <c r="G198" s="731">
        <f t="shared" si="8"/>
        <v>0</v>
      </c>
      <c r="I198" s="9"/>
    </row>
    <row r="199" spans="1:9" ht="15">
      <c r="A199" s="749">
        <v>10</v>
      </c>
      <c r="B199" s="729" t="s">
        <v>863</v>
      </c>
      <c r="C199" s="730"/>
      <c r="D199" s="730"/>
      <c r="E199" s="730"/>
      <c r="F199" s="730"/>
      <c r="G199" s="731">
        <f t="shared" si="8"/>
        <v>0</v>
      </c>
      <c r="I199" s="9"/>
    </row>
    <row r="200" spans="1:9" ht="15">
      <c r="A200" s="749">
        <v>11</v>
      </c>
      <c r="B200" s="729" t="s">
        <v>864</v>
      </c>
      <c r="C200" s="730"/>
      <c r="D200" s="730"/>
      <c r="E200" s="730"/>
      <c r="F200" s="730"/>
      <c r="G200" s="731">
        <f t="shared" si="8"/>
        <v>0</v>
      </c>
      <c r="I200" s="9"/>
    </row>
    <row r="201" spans="1:9" ht="15">
      <c r="A201" s="749">
        <v>12</v>
      </c>
      <c r="B201" s="729" t="s">
        <v>865</v>
      </c>
      <c r="C201" s="730"/>
      <c r="D201" s="730"/>
      <c r="E201" s="730"/>
      <c r="F201" s="730"/>
      <c r="G201" s="731">
        <f t="shared" si="8"/>
        <v>0</v>
      </c>
      <c r="I201" s="9"/>
    </row>
    <row r="202" spans="1:9" ht="15">
      <c r="A202" s="749">
        <v>13</v>
      </c>
      <c r="B202" s="729" t="s">
        <v>866</v>
      </c>
      <c r="C202" s="730"/>
      <c r="D202" s="730"/>
      <c r="E202" s="730"/>
      <c r="F202" s="730"/>
      <c r="G202" s="731">
        <f t="shared" si="8"/>
        <v>0</v>
      </c>
      <c r="I202" s="9"/>
    </row>
    <row r="203" spans="1:9" ht="15">
      <c r="A203" s="749">
        <v>14</v>
      </c>
      <c r="B203" s="729" t="s">
        <v>867</v>
      </c>
      <c r="C203" s="730"/>
      <c r="D203" s="730"/>
      <c r="E203" s="730"/>
      <c r="F203" s="730"/>
      <c r="G203" s="731">
        <f t="shared" si="8"/>
        <v>0</v>
      </c>
      <c r="I203" s="9"/>
    </row>
    <row r="204" spans="1:9" ht="15">
      <c r="A204" s="749">
        <v>15</v>
      </c>
      <c r="B204" s="729" t="s">
        <v>868</v>
      </c>
      <c r="C204" s="730"/>
      <c r="D204" s="730"/>
      <c r="E204" s="730"/>
      <c r="F204" s="730"/>
      <c r="G204" s="731">
        <f t="shared" si="8"/>
        <v>0</v>
      </c>
      <c r="I204" s="9"/>
    </row>
    <row r="205" spans="1:9" ht="15">
      <c r="A205" s="749">
        <v>16</v>
      </c>
      <c r="B205" s="729" t="s">
        <v>869</v>
      </c>
      <c r="C205" s="730"/>
      <c r="D205" s="730"/>
      <c r="E205" s="730"/>
      <c r="F205" s="730"/>
      <c r="G205" s="731">
        <f t="shared" si="8"/>
        <v>0</v>
      </c>
      <c r="I205" s="9"/>
    </row>
    <row r="206" spans="1:9" ht="15">
      <c r="A206" s="749">
        <v>17</v>
      </c>
      <c r="B206" s="729" t="s">
        <v>870</v>
      </c>
      <c r="C206" s="730"/>
      <c r="D206" s="730"/>
      <c r="E206" s="730"/>
      <c r="F206" s="730"/>
      <c r="G206" s="731">
        <f t="shared" si="8"/>
        <v>0</v>
      </c>
      <c r="I206" s="9"/>
    </row>
    <row r="207" spans="1:9" ht="15">
      <c r="A207" s="749">
        <v>18</v>
      </c>
      <c r="B207" s="729" t="s">
        <v>871</v>
      </c>
      <c r="C207" s="730"/>
      <c r="D207" s="730"/>
      <c r="E207" s="730"/>
      <c r="F207" s="730">
        <f>330550-52800</f>
        <v>277750</v>
      </c>
      <c r="G207" s="731">
        <f t="shared" si="8"/>
        <v>277750</v>
      </c>
      <c r="I207" s="9"/>
    </row>
    <row r="208" spans="1:9" ht="15">
      <c r="A208" s="749">
        <v>19</v>
      </c>
      <c r="B208" s="729" t="s">
        <v>872</v>
      </c>
      <c r="C208" s="730"/>
      <c r="D208" s="730"/>
      <c r="E208" s="730"/>
      <c r="F208" s="730"/>
      <c r="G208" s="731">
        <f t="shared" si="8"/>
        <v>0</v>
      </c>
      <c r="I208" s="9"/>
    </row>
    <row r="209" spans="1:9" ht="15">
      <c r="A209" s="749">
        <v>20</v>
      </c>
      <c r="B209" s="729" t="s">
        <v>873</v>
      </c>
      <c r="C209" s="730"/>
      <c r="D209" s="730"/>
      <c r="E209" s="730"/>
      <c r="F209" s="730"/>
      <c r="G209" s="731">
        <f t="shared" si="8"/>
        <v>0</v>
      </c>
      <c r="I209" s="9"/>
    </row>
    <row r="210" spans="1:9" ht="15">
      <c r="A210" s="749">
        <v>21</v>
      </c>
      <c r="B210" s="729" t="s">
        <v>874</v>
      </c>
      <c r="C210" s="730"/>
      <c r="D210" s="730"/>
      <c r="E210" s="730"/>
      <c r="F210" s="730"/>
      <c r="G210" s="731">
        <f t="shared" si="8"/>
        <v>0</v>
      </c>
      <c r="I210" s="9"/>
    </row>
    <row r="211" spans="1:9" ht="15">
      <c r="A211" s="749" t="s">
        <v>106</v>
      </c>
      <c r="B211" s="729" t="s">
        <v>117</v>
      </c>
      <c r="C211" s="730">
        <f>50000-8000</f>
        <v>42000</v>
      </c>
      <c r="D211" s="730"/>
      <c r="E211" s="730"/>
      <c r="F211" s="730"/>
      <c r="G211" s="731">
        <f t="shared" si="8"/>
        <v>42000</v>
      </c>
      <c r="I211" s="9"/>
    </row>
    <row r="212" spans="1:7" ht="15">
      <c r="A212" s="732"/>
      <c r="B212" s="725" t="s">
        <v>638</v>
      </c>
      <c r="C212" s="731">
        <f>SUM(C190:C211)</f>
        <v>65760</v>
      </c>
      <c r="D212" s="731">
        <f>SUM(D190:D211)</f>
        <v>293030</v>
      </c>
      <c r="E212" s="731">
        <f>SUM(E190:E211)</f>
        <v>746900</v>
      </c>
      <c r="F212" s="731">
        <f>SUM(F190:F211)</f>
        <v>324550</v>
      </c>
      <c r="G212" s="731">
        <f>SUM(G190:G211)</f>
        <v>1430240</v>
      </c>
    </row>
    <row r="213" spans="1:7" ht="14.25">
      <c r="A213" s="722"/>
      <c r="B213" s="722"/>
      <c r="C213" s="722"/>
      <c r="D213" s="722"/>
      <c r="E213" s="722"/>
      <c r="F213" s="722"/>
      <c r="G213" s="722"/>
    </row>
    <row r="214" spans="1:7" ht="15">
      <c r="A214" s="724" t="s">
        <v>621</v>
      </c>
      <c r="B214" s="725" t="s">
        <v>1016</v>
      </c>
      <c r="C214" s="724" t="s">
        <v>1014</v>
      </c>
      <c r="D214" s="724" t="s">
        <v>1037</v>
      </c>
      <c r="E214" s="724" t="s">
        <v>1038</v>
      </c>
      <c r="F214" s="724" t="s">
        <v>1039</v>
      </c>
      <c r="G214" s="724" t="s">
        <v>638</v>
      </c>
    </row>
    <row r="215" spans="1:7" ht="15">
      <c r="A215" s="724"/>
      <c r="B215" s="726"/>
      <c r="C215" s="724" t="s">
        <v>1040</v>
      </c>
      <c r="D215" s="724" t="s">
        <v>1041</v>
      </c>
      <c r="E215" s="724" t="s">
        <v>1042</v>
      </c>
      <c r="F215" s="724" t="s">
        <v>1044</v>
      </c>
      <c r="G215" s="724"/>
    </row>
    <row r="216" spans="1:7" ht="15">
      <c r="A216" s="727" t="s">
        <v>1003</v>
      </c>
      <c r="B216" s="722"/>
      <c r="C216" s="722"/>
      <c r="D216" s="722"/>
      <c r="E216" s="722"/>
      <c r="F216" s="722"/>
      <c r="G216" s="722"/>
    </row>
    <row r="217" spans="1:9" ht="15">
      <c r="A217" s="749">
        <v>1</v>
      </c>
      <c r="B217" s="729" t="s">
        <v>875</v>
      </c>
      <c r="C217" s="730"/>
      <c r="D217" s="730"/>
      <c r="E217" s="730"/>
      <c r="F217" s="730"/>
      <c r="G217" s="731">
        <f>SUM(C217:F217)</f>
        <v>0</v>
      </c>
      <c r="I217" s="9"/>
    </row>
    <row r="218" spans="1:9" ht="15">
      <c r="A218" s="749">
        <v>2</v>
      </c>
      <c r="B218" s="729" t="s">
        <v>876</v>
      </c>
      <c r="C218" s="730"/>
      <c r="D218" s="730">
        <f>10000-2800</f>
        <v>7200</v>
      </c>
      <c r="E218" s="730">
        <v>7500</v>
      </c>
      <c r="F218" s="730"/>
      <c r="G218" s="731">
        <f aca="true" t="shared" si="9" ref="G218:G227">SUM(C218:F218)</f>
        <v>14700</v>
      </c>
      <c r="I218" s="9"/>
    </row>
    <row r="219" spans="1:9" ht="15">
      <c r="A219" s="749">
        <v>3</v>
      </c>
      <c r="B219" s="729" t="s">
        <v>877</v>
      </c>
      <c r="C219" s="730"/>
      <c r="D219" s="730"/>
      <c r="E219" s="730">
        <f>450000-72800-74000</f>
        <v>303200</v>
      </c>
      <c r="F219" s="730">
        <v>5000</v>
      </c>
      <c r="G219" s="731">
        <f t="shared" si="9"/>
        <v>308200</v>
      </c>
      <c r="I219" s="9"/>
    </row>
    <row r="220" spans="1:9" ht="15">
      <c r="A220" s="749">
        <v>4</v>
      </c>
      <c r="B220" s="729" t="s">
        <v>878</v>
      </c>
      <c r="C220" s="730"/>
      <c r="D220" s="730"/>
      <c r="E220" s="730"/>
      <c r="F220" s="730"/>
      <c r="G220" s="731">
        <f t="shared" si="9"/>
        <v>0</v>
      </c>
      <c r="I220" s="9"/>
    </row>
    <row r="221" spans="1:9" ht="15">
      <c r="A221" s="749">
        <v>5</v>
      </c>
      <c r="B221" s="729" t="s">
        <v>879</v>
      </c>
      <c r="C221" s="730"/>
      <c r="D221" s="730"/>
      <c r="E221" s="730"/>
      <c r="F221" s="730"/>
      <c r="G221" s="731">
        <f t="shared" si="9"/>
        <v>0</v>
      </c>
      <c r="I221" s="9"/>
    </row>
    <row r="222" spans="1:9" ht="15">
      <c r="A222" s="749">
        <v>6</v>
      </c>
      <c r="B222" s="729" t="s">
        <v>880</v>
      </c>
      <c r="C222" s="730"/>
      <c r="D222" s="730"/>
      <c r="E222" s="730"/>
      <c r="F222" s="730"/>
      <c r="G222" s="731">
        <f t="shared" si="9"/>
        <v>0</v>
      </c>
      <c r="I222" s="9"/>
    </row>
    <row r="223" spans="1:9" ht="15">
      <c r="A223" s="749">
        <v>7</v>
      </c>
      <c r="B223" s="729" t="s">
        <v>893</v>
      </c>
      <c r="C223" s="730"/>
      <c r="D223" s="730"/>
      <c r="E223" s="730"/>
      <c r="F223" s="730"/>
      <c r="G223" s="731">
        <f t="shared" si="9"/>
        <v>0</v>
      </c>
      <c r="I223" s="9"/>
    </row>
    <row r="224" spans="1:9" ht="15">
      <c r="A224" s="749">
        <v>8</v>
      </c>
      <c r="B224" s="729" t="s">
        <v>894</v>
      </c>
      <c r="C224" s="730"/>
      <c r="D224" s="730"/>
      <c r="E224" s="730"/>
      <c r="F224" s="730"/>
      <c r="G224" s="731">
        <f t="shared" si="9"/>
        <v>0</v>
      </c>
      <c r="I224" s="9"/>
    </row>
    <row r="225" spans="1:9" ht="15">
      <c r="A225" s="749">
        <v>9</v>
      </c>
      <c r="B225" s="729" t="s">
        <v>897</v>
      </c>
      <c r="C225" s="730"/>
      <c r="D225" s="730"/>
      <c r="E225" s="730"/>
      <c r="F225" s="730"/>
      <c r="G225" s="731">
        <f t="shared" si="9"/>
        <v>0</v>
      </c>
      <c r="I225" s="9"/>
    </row>
    <row r="226" spans="1:9" ht="15">
      <c r="A226" s="749">
        <v>10</v>
      </c>
      <c r="B226" s="729" t="s">
        <v>895</v>
      </c>
      <c r="C226" s="730"/>
      <c r="D226" s="730"/>
      <c r="E226" s="730"/>
      <c r="F226" s="730"/>
      <c r="G226" s="731">
        <f t="shared" si="9"/>
        <v>0</v>
      </c>
      <c r="I226" s="9"/>
    </row>
    <row r="227" spans="1:9" ht="15">
      <c r="A227" s="749">
        <v>11</v>
      </c>
      <c r="B227" s="729" t="s">
        <v>896</v>
      </c>
      <c r="C227" s="730"/>
      <c r="D227" s="730"/>
      <c r="E227" s="730"/>
      <c r="F227" s="730"/>
      <c r="G227" s="731">
        <f t="shared" si="9"/>
        <v>0</v>
      </c>
      <c r="I227" s="9"/>
    </row>
    <row r="228" spans="1:7" ht="15">
      <c r="A228" s="732"/>
      <c r="B228" s="725" t="s">
        <v>638</v>
      </c>
      <c r="C228" s="731">
        <f>SUM(C217:C227)</f>
        <v>0</v>
      </c>
      <c r="D228" s="731">
        <f>SUM(D217:D227)</f>
        <v>7200</v>
      </c>
      <c r="E228" s="731">
        <f>SUM(E217:E227)</f>
        <v>310700</v>
      </c>
      <c r="F228" s="731">
        <f>SUM(F217:F227)</f>
        <v>5000</v>
      </c>
      <c r="G228" s="731">
        <f>SUM(G217:G227)</f>
        <v>322900</v>
      </c>
    </row>
    <row r="230" spans="1:4" ht="15.75">
      <c r="A230" s="719" t="str">
        <f>+A158</f>
        <v> </v>
      </c>
      <c r="B230" s="720"/>
      <c r="C230" s="721" t="s">
        <v>363</v>
      </c>
      <c r="D230" s="544"/>
    </row>
    <row r="231" spans="1:9" ht="15.75">
      <c r="A231" s="696"/>
      <c r="B231" s="696" t="str">
        <f>+A117</f>
        <v>PRESUPUESTO 2008</v>
      </c>
      <c r="C231" s="696"/>
      <c r="D231" s="696"/>
      <c r="E231" s="83"/>
      <c r="F231" s="83"/>
      <c r="G231" s="83"/>
      <c r="H231" s="83"/>
      <c r="I231" s="83"/>
    </row>
    <row r="232" spans="1:4" ht="15.75">
      <c r="A232" s="754" t="str">
        <f>+A160</f>
        <v>Juris.:</v>
      </c>
      <c r="B232" s="784" t="s">
        <v>1045</v>
      </c>
      <c r="C232" s="784"/>
      <c r="D232" s="544"/>
    </row>
    <row r="233" spans="1:4" ht="15.75">
      <c r="A233" s="69" t="s">
        <v>1012</v>
      </c>
      <c r="B233" s="76"/>
      <c r="C233" s="544"/>
      <c r="D233" s="544"/>
    </row>
    <row r="234" spans="1:4" ht="15">
      <c r="A234" s="544"/>
      <c r="B234" s="544"/>
      <c r="C234" s="544"/>
      <c r="D234" s="544"/>
    </row>
    <row r="235" spans="1:9" ht="15.75">
      <c r="A235" s="657" t="s">
        <v>621</v>
      </c>
      <c r="B235" s="739" t="s">
        <v>996</v>
      </c>
      <c r="C235" s="657" t="s">
        <v>1014</v>
      </c>
      <c r="D235" s="657" t="s">
        <v>638</v>
      </c>
      <c r="E235"/>
      <c r="F235"/>
      <c r="G235"/>
      <c r="H235"/>
      <c r="I235"/>
    </row>
    <row r="236" spans="1:9" ht="15.75">
      <c r="A236" s="657"/>
      <c r="B236" s="740"/>
      <c r="C236" s="657" t="s">
        <v>1046</v>
      </c>
      <c r="D236" s="657"/>
      <c r="E236"/>
      <c r="F236" s="564"/>
      <c r="G236"/>
      <c r="H236"/>
      <c r="I236"/>
    </row>
    <row r="237" spans="1:4" ht="15.75">
      <c r="A237" s="71" t="s">
        <v>995</v>
      </c>
      <c r="B237" s="544"/>
      <c r="C237" s="544"/>
      <c r="D237" s="544"/>
    </row>
    <row r="238" spans="1:9" ht="15.75">
      <c r="A238" s="707" t="s">
        <v>666</v>
      </c>
      <c r="B238" s="743" t="s">
        <v>667</v>
      </c>
      <c r="C238" s="744">
        <f>252150-10080</f>
        <v>242070</v>
      </c>
      <c r="D238" s="741">
        <f aca="true" t="shared" si="10" ref="D238:D251">SUM(C238:C238)</f>
        <v>242070</v>
      </c>
      <c r="E238"/>
      <c r="F238" s="9"/>
      <c r="G238"/>
      <c r="H238"/>
      <c r="I238"/>
    </row>
    <row r="239" spans="1:9" ht="15.75">
      <c r="A239" s="707" t="s">
        <v>668</v>
      </c>
      <c r="B239" s="743" t="s">
        <v>669</v>
      </c>
      <c r="C239" s="744">
        <f>88230-3520</f>
        <v>84710</v>
      </c>
      <c r="D239" s="741">
        <f t="shared" si="10"/>
        <v>84710</v>
      </c>
      <c r="E239"/>
      <c r="F239" s="9"/>
      <c r="G239"/>
      <c r="H239"/>
      <c r="I239"/>
    </row>
    <row r="240" spans="1:9" ht="15.75">
      <c r="A240" s="707" t="s">
        <v>670</v>
      </c>
      <c r="B240" s="743" t="s">
        <v>726</v>
      </c>
      <c r="C240" s="744">
        <v>0</v>
      </c>
      <c r="D240" s="741">
        <f t="shared" si="10"/>
        <v>0</v>
      </c>
      <c r="E240"/>
      <c r="F240" s="9"/>
      <c r="G240"/>
      <c r="H240"/>
      <c r="I240"/>
    </row>
    <row r="241" spans="1:9" ht="15.75">
      <c r="A241" s="707" t="s">
        <v>672</v>
      </c>
      <c r="B241" s="743" t="s">
        <v>671</v>
      </c>
      <c r="C241" s="744">
        <f>138490-5540</f>
        <v>132950</v>
      </c>
      <c r="D241" s="741">
        <f t="shared" si="10"/>
        <v>132950</v>
      </c>
      <c r="E241"/>
      <c r="F241" s="9"/>
      <c r="G241"/>
      <c r="H241"/>
      <c r="I241"/>
    </row>
    <row r="242" spans="1:9" ht="15.75">
      <c r="A242" s="707" t="s">
        <v>673</v>
      </c>
      <c r="B242" s="743" t="s">
        <v>674</v>
      </c>
      <c r="C242" s="744">
        <v>0</v>
      </c>
      <c r="D242" s="741">
        <f t="shared" si="10"/>
        <v>0</v>
      </c>
      <c r="E242"/>
      <c r="F242" s="9"/>
      <c r="G242"/>
      <c r="H242"/>
      <c r="I242"/>
    </row>
    <row r="243" spans="1:9" ht="15.75">
      <c r="A243" s="707" t="s">
        <v>675</v>
      </c>
      <c r="B243" s="743" t="s">
        <v>727</v>
      </c>
      <c r="C243" s="744">
        <v>0</v>
      </c>
      <c r="D243" s="741">
        <f t="shared" si="10"/>
        <v>0</v>
      </c>
      <c r="E243"/>
      <c r="F243" s="9"/>
      <c r="G243"/>
      <c r="H243"/>
      <c r="I243"/>
    </row>
    <row r="244" spans="1:9" ht="15.75">
      <c r="A244" s="707" t="s">
        <v>677</v>
      </c>
      <c r="B244" s="743" t="s">
        <v>676</v>
      </c>
      <c r="C244" s="744">
        <f>45930-1830</f>
        <v>44100</v>
      </c>
      <c r="D244" s="741">
        <f t="shared" si="10"/>
        <v>44100</v>
      </c>
      <c r="E244"/>
      <c r="F244" s="9"/>
      <c r="G244"/>
      <c r="H244"/>
      <c r="I244"/>
    </row>
    <row r="245" spans="1:9" ht="15.75">
      <c r="A245" s="707" t="s">
        <v>679</v>
      </c>
      <c r="B245" s="743" t="s">
        <v>678</v>
      </c>
      <c r="C245" s="744">
        <f>48070-1920</f>
        <v>46150</v>
      </c>
      <c r="D245" s="741">
        <f t="shared" si="10"/>
        <v>46150</v>
      </c>
      <c r="E245"/>
      <c r="F245" s="9"/>
      <c r="G245"/>
      <c r="H245"/>
      <c r="I245"/>
    </row>
    <row r="246" spans="1:9" ht="15.75">
      <c r="A246" s="707" t="s">
        <v>680</v>
      </c>
      <c r="B246" s="743" t="s">
        <v>728</v>
      </c>
      <c r="C246" s="744">
        <f>90290-3610</f>
        <v>86680</v>
      </c>
      <c r="D246" s="741">
        <f t="shared" si="10"/>
        <v>86680</v>
      </c>
      <c r="E246"/>
      <c r="F246" s="9"/>
      <c r="G246"/>
      <c r="H246"/>
      <c r="I246"/>
    </row>
    <row r="247" spans="1:9" ht="15.75">
      <c r="A247" s="707" t="s">
        <v>681</v>
      </c>
      <c r="B247" s="743" t="s">
        <v>730</v>
      </c>
      <c r="C247" s="744">
        <f>5270-210</f>
        <v>5060</v>
      </c>
      <c r="D247" s="741">
        <f t="shared" si="10"/>
        <v>5060</v>
      </c>
      <c r="E247"/>
      <c r="F247" s="9"/>
      <c r="G247"/>
      <c r="H247"/>
      <c r="I247"/>
    </row>
    <row r="248" spans="1:9" ht="15.75">
      <c r="A248" s="707" t="s">
        <v>725</v>
      </c>
      <c r="B248" s="743" t="s">
        <v>731</v>
      </c>
      <c r="C248" s="744">
        <f>88460-3530</f>
        <v>84930</v>
      </c>
      <c r="D248" s="741">
        <f t="shared" si="10"/>
        <v>84930</v>
      </c>
      <c r="E248"/>
      <c r="F248" s="9"/>
      <c r="G248"/>
      <c r="H248"/>
      <c r="I248"/>
    </row>
    <row r="249" spans="1:9" ht="15.75">
      <c r="A249" s="707" t="s">
        <v>729</v>
      </c>
      <c r="B249" s="743" t="s">
        <v>732</v>
      </c>
      <c r="C249" s="744">
        <f>47160-1880</f>
        <v>45280</v>
      </c>
      <c r="D249" s="741">
        <f t="shared" si="10"/>
        <v>45280</v>
      </c>
      <c r="E249"/>
      <c r="F249" s="9"/>
      <c r="G249"/>
      <c r="H249"/>
      <c r="I249"/>
    </row>
    <row r="250" spans="1:9" ht="15.75">
      <c r="A250" s="707" t="s">
        <v>733</v>
      </c>
      <c r="B250" s="743" t="s">
        <v>735</v>
      </c>
      <c r="C250" s="744">
        <f>8100-320</f>
        <v>7780</v>
      </c>
      <c r="D250" s="741">
        <f t="shared" si="10"/>
        <v>7780</v>
      </c>
      <c r="E250"/>
      <c r="F250" s="9"/>
      <c r="G250"/>
      <c r="H250"/>
      <c r="I250"/>
    </row>
    <row r="251" spans="1:9" ht="15.75">
      <c r="A251" s="755" t="s">
        <v>734</v>
      </c>
      <c r="B251" s="756" t="s">
        <v>736</v>
      </c>
      <c r="C251" s="757">
        <v>0</v>
      </c>
      <c r="D251" s="741">
        <f t="shared" si="10"/>
        <v>0</v>
      </c>
      <c r="E251"/>
      <c r="F251" s="9"/>
      <c r="G251"/>
      <c r="H251"/>
      <c r="I251"/>
    </row>
    <row r="252" spans="1:9" ht="15.75">
      <c r="A252" s="742"/>
      <c r="B252" s="739" t="s">
        <v>638</v>
      </c>
      <c r="C252" s="741">
        <f>SUM(C238:C251)</f>
        <v>779710</v>
      </c>
      <c r="D252" s="741">
        <f>SUM(D238:D251)</f>
        <v>779710</v>
      </c>
      <c r="E252"/>
      <c r="F252"/>
      <c r="G252"/>
      <c r="H252"/>
      <c r="I252"/>
    </row>
    <row r="253" spans="1:10" ht="15">
      <c r="A253" s="544"/>
      <c r="B253" s="544"/>
      <c r="C253" s="544"/>
      <c r="D253" s="544"/>
      <c r="J253" s="48"/>
    </row>
    <row r="254" spans="1:9" ht="15.75">
      <c r="A254" s="657" t="s">
        <v>621</v>
      </c>
      <c r="B254" s="739" t="s">
        <v>998</v>
      </c>
      <c r="C254" s="657" t="s">
        <v>1014</v>
      </c>
      <c r="D254" s="657" t="s">
        <v>638</v>
      </c>
      <c r="E254"/>
      <c r="F254"/>
      <c r="G254"/>
      <c r="H254"/>
      <c r="I254"/>
    </row>
    <row r="255" spans="1:9" ht="15.75">
      <c r="A255" s="657"/>
      <c r="B255" s="740"/>
      <c r="C255" s="657" t="s">
        <v>1046</v>
      </c>
      <c r="D255" s="657"/>
      <c r="E255"/>
      <c r="F255"/>
      <c r="G255"/>
      <c r="H255"/>
      <c r="I255"/>
    </row>
    <row r="256" spans="1:9" ht="15.75">
      <c r="A256" s="71" t="s">
        <v>999</v>
      </c>
      <c r="B256" s="544"/>
      <c r="C256" s="544"/>
      <c r="D256" s="544"/>
      <c r="G256"/>
      <c r="H256"/>
      <c r="I256"/>
    </row>
    <row r="257" spans="1:9" ht="15.75">
      <c r="A257" s="707" t="s">
        <v>666</v>
      </c>
      <c r="B257" s="743" t="s">
        <v>667</v>
      </c>
      <c r="C257" s="744">
        <f>24350-970</f>
        <v>23380</v>
      </c>
      <c r="D257" s="741">
        <f aca="true" t="shared" si="11" ref="D257:D270">SUM(C257:C257)</f>
        <v>23380</v>
      </c>
      <c r="E257"/>
      <c r="F257" s="9"/>
      <c r="G257"/>
      <c r="H257"/>
      <c r="I257"/>
    </row>
    <row r="258" spans="1:9" ht="15.75">
      <c r="A258" s="707" t="s">
        <v>668</v>
      </c>
      <c r="B258" s="743" t="s">
        <v>669</v>
      </c>
      <c r="C258" s="744">
        <f>2330-93</f>
        <v>2237</v>
      </c>
      <c r="D258" s="741">
        <f t="shared" si="11"/>
        <v>2237</v>
      </c>
      <c r="E258"/>
      <c r="F258" s="9"/>
      <c r="G258"/>
      <c r="H258"/>
      <c r="I258"/>
    </row>
    <row r="259" spans="1:9" ht="15.75">
      <c r="A259" s="707" t="s">
        <v>670</v>
      </c>
      <c r="B259" s="743" t="s">
        <v>726</v>
      </c>
      <c r="C259" s="744">
        <v>0</v>
      </c>
      <c r="D259" s="741">
        <f t="shared" si="11"/>
        <v>0</v>
      </c>
      <c r="E259"/>
      <c r="F259" s="9"/>
      <c r="G259"/>
      <c r="H259"/>
      <c r="I259"/>
    </row>
    <row r="260" spans="1:9" ht="15.75">
      <c r="A260" s="707" t="s">
        <v>672</v>
      </c>
      <c r="B260" s="743" t="s">
        <v>671</v>
      </c>
      <c r="C260" s="744">
        <v>0</v>
      </c>
      <c r="D260" s="741">
        <f t="shared" si="11"/>
        <v>0</v>
      </c>
      <c r="E260"/>
      <c r="F260" s="9"/>
      <c r="G260"/>
      <c r="H260"/>
      <c r="I260"/>
    </row>
    <row r="261" spans="1:9" ht="15.75">
      <c r="A261" s="707" t="s">
        <v>673</v>
      </c>
      <c r="B261" s="743" t="s">
        <v>674</v>
      </c>
      <c r="C261" s="744">
        <f>63990-2560</f>
        <v>61430</v>
      </c>
      <c r="D261" s="741">
        <f t="shared" si="11"/>
        <v>61430</v>
      </c>
      <c r="E261"/>
      <c r="F261" s="9"/>
      <c r="G261"/>
      <c r="H261"/>
      <c r="I261"/>
    </row>
    <row r="262" spans="1:9" ht="15.75">
      <c r="A262" s="707" t="s">
        <v>675</v>
      </c>
      <c r="B262" s="743" t="s">
        <v>727</v>
      </c>
      <c r="C262" s="744">
        <v>0</v>
      </c>
      <c r="D262" s="741">
        <f t="shared" si="11"/>
        <v>0</v>
      </c>
      <c r="E262"/>
      <c r="F262" s="9"/>
      <c r="G262"/>
      <c r="H262"/>
      <c r="I262"/>
    </row>
    <row r="263" spans="1:9" ht="15.75">
      <c r="A263" s="707" t="s">
        <v>677</v>
      </c>
      <c r="B263" s="743" t="s">
        <v>676</v>
      </c>
      <c r="C263" s="744">
        <f>7380-290</f>
        <v>7090</v>
      </c>
      <c r="D263" s="741">
        <f t="shared" si="11"/>
        <v>7090</v>
      </c>
      <c r="E263"/>
      <c r="F263" s="9"/>
      <c r="G263"/>
      <c r="H263"/>
      <c r="I263"/>
    </row>
    <row r="264" spans="1:9" ht="15.75">
      <c r="A264" s="707" t="s">
        <v>679</v>
      </c>
      <c r="B264" s="743" t="s">
        <v>678</v>
      </c>
      <c r="C264" s="744">
        <f>45380-1810</f>
        <v>43570</v>
      </c>
      <c r="D264" s="741">
        <f t="shared" si="11"/>
        <v>43570</v>
      </c>
      <c r="E264"/>
      <c r="F264" s="9"/>
      <c r="G264"/>
      <c r="H264"/>
      <c r="I264"/>
    </row>
    <row r="265" spans="1:9" ht="15.75">
      <c r="A265" s="707" t="s">
        <v>680</v>
      </c>
      <c r="B265" s="743" t="s">
        <v>728</v>
      </c>
      <c r="C265" s="744">
        <v>0</v>
      </c>
      <c r="D265" s="741">
        <f t="shared" si="11"/>
        <v>0</v>
      </c>
      <c r="E265"/>
      <c r="F265" s="9"/>
      <c r="G265"/>
      <c r="H265"/>
      <c r="I265"/>
    </row>
    <row r="266" spans="1:9" ht="15.75">
      <c r="A266" s="707" t="s">
        <v>681</v>
      </c>
      <c r="B266" s="743" t="s">
        <v>730</v>
      </c>
      <c r="C266" s="744">
        <f>19180-760</f>
        <v>18420</v>
      </c>
      <c r="D266" s="741">
        <f t="shared" si="11"/>
        <v>18420</v>
      </c>
      <c r="E266"/>
      <c r="F266" s="9"/>
      <c r="G266"/>
      <c r="H266"/>
      <c r="I266"/>
    </row>
    <row r="267" spans="1:9" ht="15.75">
      <c r="A267" s="707" t="s">
        <v>725</v>
      </c>
      <c r="B267" s="743" t="s">
        <v>731</v>
      </c>
      <c r="C267" s="744">
        <f>10790-430</f>
        <v>10360</v>
      </c>
      <c r="D267" s="741">
        <f t="shared" si="11"/>
        <v>10360</v>
      </c>
      <c r="E267"/>
      <c r="F267" s="9"/>
      <c r="G267"/>
      <c r="H267"/>
      <c r="I267"/>
    </row>
    <row r="268" spans="1:9" ht="15.75">
      <c r="A268" s="707" t="s">
        <v>729</v>
      </c>
      <c r="B268" s="743" t="s">
        <v>732</v>
      </c>
      <c r="C268" s="744">
        <f>7320-290</f>
        <v>7030</v>
      </c>
      <c r="D268" s="741">
        <f t="shared" si="11"/>
        <v>7030</v>
      </c>
      <c r="E268"/>
      <c r="F268" s="9"/>
      <c r="G268"/>
      <c r="H268"/>
      <c r="I268"/>
    </row>
    <row r="269" spans="1:9" ht="15.75">
      <c r="A269" s="707" t="s">
        <v>733</v>
      </c>
      <c r="B269" s="743" t="s">
        <v>735</v>
      </c>
      <c r="C269" s="744">
        <f>1270-50</f>
        <v>1220</v>
      </c>
      <c r="D269" s="741">
        <f t="shared" si="11"/>
        <v>1220</v>
      </c>
      <c r="E269" s="1"/>
      <c r="F269" s="9"/>
      <c r="G269"/>
      <c r="H269"/>
      <c r="I269"/>
    </row>
    <row r="270" spans="1:9" ht="15.75">
      <c r="A270" s="707" t="s">
        <v>734</v>
      </c>
      <c r="B270" s="743" t="s">
        <v>736</v>
      </c>
      <c r="C270" s="744">
        <v>0</v>
      </c>
      <c r="D270" s="741">
        <f t="shared" si="11"/>
        <v>0</v>
      </c>
      <c r="E270"/>
      <c r="F270" s="9"/>
      <c r="G270"/>
      <c r="H270"/>
      <c r="I270"/>
    </row>
    <row r="271" spans="1:9" ht="15.75">
      <c r="A271" s="742"/>
      <c r="B271" s="739" t="s">
        <v>638</v>
      </c>
      <c r="C271" s="741">
        <f>SUM(C257:C270)</f>
        <v>174737</v>
      </c>
      <c r="D271" s="741">
        <f>SUM(D257:D270)</f>
        <v>174737</v>
      </c>
      <c r="E271" s="1"/>
      <c r="F271"/>
      <c r="G271"/>
      <c r="H271"/>
      <c r="I271"/>
    </row>
    <row r="272" spans="1:4" ht="14.25">
      <c r="A272" s="722"/>
      <c r="B272" s="722"/>
      <c r="C272" s="722"/>
      <c r="D272" s="722"/>
    </row>
    <row r="273" spans="1:4" ht="15">
      <c r="A273" s="722" t="str">
        <f>+A230</f>
        <v> </v>
      </c>
      <c r="B273" s="722"/>
      <c r="C273" s="723" t="s">
        <v>363</v>
      </c>
      <c r="D273" s="722"/>
    </row>
    <row r="274" spans="1:9" ht="15">
      <c r="A274" s="109"/>
      <c r="B274" s="697" t="str">
        <f>+B231</f>
        <v>PRESUPUESTO 2008</v>
      </c>
      <c r="C274" s="109"/>
      <c r="D274" s="109"/>
      <c r="E274" s="14"/>
      <c r="F274" s="14"/>
      <c r="G274" s="14"/>
      <c r="H274" s="14"/>
      <c r="I274" s="14"/>
    </row>
    <row r="275" spans="1:4" ht="15">
      <c r="A275" s="723" t="str">
        <f>+A232</f>
        <v>Juris.:</v>
      </c>
      <c r="B275" s="761" t="s">
        <v>1045</v>
      </c>
      <c r="C275" s="761"/>
      <c r="D275" s="722"/>
    </row>
    <row r="276" spans="1:4" ht="15">
      <c r="A276" s="723" t="s">
        <v>1012</v>
      </c>
      <c r="B276" s="109"/>
      <c r="C276" s="722"/>
      <c r="D276" s="722"/>
    </row>
    <row r="277" spans="1:4" ht="14.25">
      <c r="A277" s="722"/>
      <c r="B277" s="722"/>
      <c r="C277" s="722"/>
      <c r="D277" s="722"/>
    </row>
    <row r="278" spans="1:9" ht="15">
      <c r="A278" s="724" t="s">
        <v>621</v>
      </c>
      <c r="B278" s="725" t="s">
        <v>1001</v>
      </c>
      <c r="C278" s="724" t="s">
        <v>1014</v>
      </c>
      <c r="D278" s="724" t="s">
        <v>638</v>
      </c>
      <c r="E278"/>
      <c r="F278"/>
      <c r="G278"/>
      <c r="H278"/>
      <c r="I278"/>
    </row>
    <row r="279" spans="1:9" ht="15">
      <c r="A279" s="724"/>
      <c r="B279" s="726"/>
      <c r="C279" s="724" t="s">
        <v>1046</v>
      </c>
      <c r="D279" s="724"/>
      <c r="E279"/>
      <c r="F279" s="564"/>
      <c r="G279"/>
      <c r="H279"/>
      <c r="I279"/>
    </row>
    <row r="280" spans="1:16" ht="15">
      <c r="A280" s="727" t="s">
        <v>1000</v>
      </c>
      <c r="B280" s="722"/>
      <c r="C280" s="722"/>
      <c r="D280" s="722"/>
      <c r="J280" s="48"/>
      <c r="K280" s="48"/>
      <c r="L280" s="48"/>
      <c r="M280" s="48"/>
      <c r="N280" s="48"/>
      <c r="O280" s="48"/>
      <c r="P280" s="48"/>
    </row>
    <row r="281" spans="1:9" ht="15">
      <c r="A281" s="749">
        <v>1</v>
      </c>
      <c r="B281" s="729" t="s">
        <v>834</v>
      </c>
      <c r="C281" s="730"/>
      <c r="D281" s="731">
        <f aca="true" t="shared" si="12" ref="D281:D299">SUM(C281:C281)</f>
        <v>0</v>
      </c>
      <c r="E281"/>
      <c r="F281" s="9"/>
      <c r="G281"/>
      <c r="H281"/>
      <c r="I281"/>
    </row>
    <row r="282" spans="1:9" ht="15">
      <c r="A282" s="749">
        <v>2</v>
      </c>
      <c r="B282" s="729" t="s">
        <v>835</v>
      </c>
      <c r="C282" s="730"/>
      <c r="D282" s="731">
        <f t="shared" si="12"/>
        <v>0</v>
      </c>
      <c r="E282"/>
      <c r="F282" s="9"/>
      <c r="G282"/>
      <c r="H282"/>
      <c r="I282"/>
    </row>
    <row r="283" spans="1:9" ht="15">
      <c r="A283" s="749">
        <v>3</v>
      </c>
      <c r="B283" s="729" t="s">
        <v>836</v>
      </c>
      <c r="C283" s="730"/>
      <c r="D283" s="731">
        <f t="shared" si="12"/>
        <v>0</v>
      </c>
      <c r="E283"/>
      <c r="F283" s="9"/>
      <c r="G283"/>
      <c r="H283"/>
      <c r="I283"/>
    </row>
    <row r="284" spans="1:9" ht="15">
      <c r="A284" s="749">
        <v>4</v>
      </c>
      <c r="B284" s="729" t="s">
        <v>837</v>
      </c>
      <c r="C284" s="730"/>
      <c r="D284" s="731">
        <f t="shared" si="12"/>
        <v>0</v>
      </c>
      <c r="E284"/>
      <c r="F284" s="9"/>
      <c r="G284"/>
      <c r="H284"/>
      <c r="I284"/>
    </row>
    <row r="285" spans="1:9" ht="15">
      <c r="A285" s="749">
        <v>5</v>
      </c>
      <c r="B285" s="729" t="s">
        <v>838</v>
      </c>
      <c r="C285" s="730">
        <f>7640-1220-2000</f>
        <v>4420</v>
      </c>
      <c r="D285" s="731">
        <f t="shared" si="12"/>
        <v>4420</v>
      </c>
      <c r="E285"/>
      <c r="F285" s="9"/>
      <c r="G285"/>
      <c r="H285"/>
      <c r="I285"/>
    </row>
    <row r="286" spans="1:9" ht="15">
      <c r="A286" s="749">
        <v>6</v>
      </c>
      <c r="B286" s="729" t="s">
        <v>839</v>
      </c>
      <c r="C286" s="730"/>
      <c r="D286" s="731">
        <f t="shared" si="12"/>
        <v>0</v>
      </c>
      <c r="E286"/>
      <c r="F286" s="9"/>
      <c r="G286"/>
      <c r="H286"/>
      <c r="I286"/>
    </row>
    <row r="287" spans="1:9" ht="15">
      <c r="A287" s="749">
        <v>7</v>
      </c>
      <c r="B287" s="729" t="s">
        <v>840</v>
      </c>
      <c r="C287" s="730"/>
      <c r="D287" s="731">
        <f t="shared" si="12"/>
        <v>0</v>
      </c>
      <c r="E287"/>
      <c r="F287" s="9"/>
      <c r="G287"/>
      <c r="H287"/>
      <c r="I287"/>
    </row>
    <row r="288" spans="1:9" ht="15">
      <c r="A288" s="749">
        <v>8</v>
      </c>
      <c r="B288" s="729" t="s">
        <v>842</v>
      </c>
      <c r="C288" s="730"/>
      <c r="D288" s="731">
        <f t="shared" si="12"/>
        <v>0</v>
      </c>
      <c r="E288"/>
      <c r="F288" s="9"/>
      <c r="G288"/>
      <c r="H288"/>
      <c r="I288"/>
    </row>
    <row r="289" spans="1:9" ht="15">
      <c r="A289" s="749">
        <v>9</v>
      </c>
      <c r="B289" s="729" t="s">
        <v>843</v>
      </c>
      <c r="C289" s="730"/>
      <c r="D289" s="731">
        <f t="shared" si="12"/>
        <v>0</v>
      </c>
      <c r="E289"/>
      <c r="F289" s="9"/>
      <c r="G289"/>
      <c r="H289"/>
      <c r="I289"/>
    </row>
    <row r="290" spans="1:9" ht="15">
      <c r="A290" s="749">
        <v>10</v>
      </c>
      <c r="B290" s="729" t="s">
        <v>844</v>
      </c>
      <c r="C290" s="730"/>
      <c r="D290" s="731">
        <f t="shared" si="12"/>
        <v>0</v>
      </c>
      <c r="E290"/>
      <c r="F290" s="9"/>
      <c r="G290"/>
      <c r="H290"/>
      <c r="I290"/>
    </row>
    <row r="291" spans="1:9" ht="15">
      <c r="A291" s="749">
        <v>11</v>
      </c>
      <c r="B291" s="729" t="s">
        <v>845</v>
      </c>
      <c r="C291" s="730"/>
      <c r="D291" s="731">
        <f t="shared" si="12"/>
        <v>0</v>
      </c>
      <c r="E291"/>
      <c r="F291" s="9"/>
      <c r="G291"/>
      <c r="H291"/>
      <c r="I291"/>
    </row>
    <row r="292" spans="1:9" ht="15">
      <c r="A292" s="749">
        <v>12</v>
      </c>
      <c r="B292" s="729" t="s">
        <v>846</v>
      </c>
      <c r="C292" s="730"/>
      <c r="D292" s="731">
        <f t="shared" si="12"/>
        <v>0</v>
      </c>
      <c r="E292"/>
      <c r="F292" s="9"/>
      <c r="G292"/>
      <c r="H292"/>
      <c r="I292"/>
    </row>
    <row r="293" spans="1:9" ht="15">
      <c r="A293" s="749">
        <v>13</v>
      </c>
      <c r="B293" s="729" t="s">
        <v>847</v>
      </c>
      <c r="C293" s="730">
        <f>700-110</f>
        <v>590</v>
      </c>
      <c r="D293" s="731">
        <f t="shared" si="12"/>
        <v>590</v>
      </c>
      <c r="E293"/>
      <c r="F293" s="9"/>
      <c r="G293"/>
      <c r="H293"/>
      <c r="I293"/>
    </row>
    <row r="294" spans="1:9" ht="15">
      <c r="A294" s="749">
        <v>14</v>
      </c>
      <c r="B294" s="729" t="s">
        <v>848</v>
      </c>
      <c r="C294" s="730"/>
      <c r="D294" s="731">
        <f t="shared" si="12"/>
        <v>0</v>
      </c>
      <c r="E294"/>
      <c r="F294" s="9"/>
      <c r="G294"/>
      <c r="H294"/>
      <c r="I294"/>
    </row>
    <row r="295" spans="1:9" ht="15">
      <c r="A295" s="749">
        <v>15</v>
      </c>
      <c r="B295" s="729" t="s">
        <v>849</v>
      </c>
      <c r="C295" s="730">
        <f>2520-400</f>
        <v>2120</v>
      </c>
      <c r="D295" s="731">
        <f t="shared" si="12"/>
        <v>2120</v>
      </c>
      <c r="E295"/>
      <c r="F295" s="9"/>
      <c r="G295"/>
      <c r="H295"/>
      <c r="I295"/>
    </row>
    <row r="296" spans="1:9" ht="15">
      <c r="A296" s="749">
        <v>16</v>
      </c>
      <c r="B296" s="729" t="s">
        <v>850</v>
      </c>
      <c r="C296" s="730"/>
      <c r="D296" s="731">
        <f t="shared" si="12"/>
        <v>0</v>
      </c>
      <c r="E296"/>
      <c r="F296" s="9"/>
      <c r="G296"/>
      <c r="H296"/>
      <c r="I296"/>
    </row>
    <row r="297" spans="1:9" ht="15">
      <c r="A297" s="749">
        <v>17</v>
      </c>
      <c r="B297" s="729" t="s">
        <v>851</v>
      </c>
      <c r="C297" s="730"/>
      <c r="D297" s="731">
        <f t="shared" si="12"/>
        <v>0</v>
      </c>
      <c r="E297"/>
      <c r="F297" s="9"/>
      <c r="G297"/>
      <c r="H297"/>
      <c r="I297"/>
    </row>
    <row r="298" spans="1:9" ht="15">
      <c r="A298" s="749">
        <v>18</v>
      </c>
      <c r="B298" s="729" t="s">
        <v>852</v>
      </c>
      <c r="C298" s="730"/>
      <c r="D298" s="731">
        <f t="shared" si="12"/>
        <v>0</v>
      </c>
      <c r="E298"/>
      <c r="F298" s="9"/>
      <c r="G298"/>
      <c r="H298"/>
      <c r="I298"/>
    </row>
    <row r="299" spans="1:9" ht="15">
      <c r="A299" s="749">
        <v>19</v>
      </c>
      <c r="B299" s="729" t="s">
        <v>853</v>
      </c>
      <c r="C299" s="730"/>
      <c r="D299" s="731">
        <f t="shared" si="12"/>
        <v>0</v>
      </c>
      <c r="E299"/>
      <c r="F299" s="9"/>
      <c r="G299"/>
      <c r="H299"/>
      <c r="I299"/>
    </row>
    <row r="300" spans="1:9" ht="15">
      <c r="A300" s="732"/>
      <c r="B300" s="725" t="s">
        <v>638</v>
      </c>
      <c r="C300" s="731">
        <f>SUM(C281:C299)</f>
        <v>7130</v>
      </c>
      <c r="D300" s="731">
        <f>SUM(D281:D299)</f>
        <v>7130</v>
      </c>
      <c r="E300"/>
      <c r="F300"/>
      <c r="G300"/>
      <c r="H300"/>
      <c r="I300"/>
    </row>
    <row r="301" spans="1:10" ht="14.25">
      <c r="A301" s="722"/>
      <c r="B301" s="722"/>
      <c r="C301" s="722"/>
      <c r="D301" s="722"/>
      <c r="J301" s="48"/>
    </row>
    <row r="302" spans="1:9" ht="15">
      <c r="A302" s="724" t="s">
        <v>621</v>
      </c>
      <c r="B302" s="725" t="s">
        <v>990</v>
      </c>
      <c r="C302" s="724" t="s">
        <v>1014</v>
      </c>
      <c r="D302" s="724" t="s">
        <v>638</v>
      </c>
      <c r="E302"/>
      <c r="F302"/>
      <c r="G302"/>
      <c r="H302"/>
      <c r="I302"/>
    </row>
    <row r="303" spans="1:9" ht="15">
      <c r="A303" s="724"/>
      <c r="B303" s="726"/>
      <c r="C303" s="724" t="s">
        <v>1046</v>
      </c>
      <c r="D303" s="724"/>
      <c r="E303"/>
      <c r="F303"/>
      <c r="G303"/>
      <c r="H303"/>
      <c r="I303"/>
    </row>
    <row r="304" spans="1:9" ht="15">
      <c r="A304" s="727" t="s">
        <v>1002</v>
      </c>
      <c r="B304" s="722"/>
      <c r="C304" s="722"/>
      <c r="D304" s="722"/>
      <c r="E304"/>
      <c r="F304"/>
      <c r="G304"/>
      <c r="H304"/>
      <c r="I304"/>
    </row>
    <row r="305" spans="1:9" ht="15">
      <c r="A305" s="749">
        <v>1</v>
      </c>
      <c r="B305" s="729" t="s">
        <v>854</v>
      </c>
      <c r="C305" s="730"/>
      <c r="D305" s="731">
        <f aca="true" t="shared" si="13" ref="D305:D326">SUM(C305:C305)</f>
        <v>0</v>
      </c>
      <c r="E305"/>
      <c r="F305" s="9"/>
      <c r="G305"/>
      <c r="H305"/>
      <c r="I305"/>
    </row>
    <row r="306" spans="1:9" ht="15">
      <c r="A306" s="749">
        <v>2</v>
      </c>
      <c r="B306" s="729" t="s">
        <v>855</v>
      </c>
      <c r="C306" s="730"/>
      <c r="D306" s="731">
        <f t="shared" si="13"/>
        <v>0</v>
      </c>
      <c r="E306"/>
      <c r="F306" s="9"/>
      <c r="G306"/>
      <c r="H306"/>
      <c r="I306"/>
    </row>
    <row r="307" spans="1:9" ht="15">
      <c r="A307" s="749">
        <v>3</v>
      </c>
      <c r="B307" s="729" t="s">
        <v>856</v>
      </c>
      <c r="C307" s="730"/>
      <c r="D307" s="731">
        <f t="shared" si="13"/>
        <v>0</v>
      </c>
      <c r="E307"/>
      <c r="F307" s="9"/>
      <c r="G307"/>
      <c r="H307"/>
      <c r="I307"/>
    </row>
    <row r="308" spans="1:9" ht="15">
      <c r="A308" s="749">
        <v>4</v>
      </c>
      <c r="B308" s="729" t="s">
        <v>857</v>
      </c>
      <c r="C308" s="730"/>
      <c r="D308" s="731">
        <f t="shared" si="13"/>
        <v>0</v>
      </c>
      <c r="E308"/>
      <c r="F308" s="9"/>
      <c r="G308"/>
      <c r="H308"/>
      <c r="I308"/>
    </row>
    <row r="309" spans="1:9" ht="15">
      <c r="A309" s="749">
        <v>5</v>
      </c>
      <c r="B309" s="729" t="s">
        <v>858</v>
      </c>
      <c r="C309" s="730"/>
      <c r="D309" s="731">
        <f t="shared" si="13"/>
        <v>0</v>
      </c>
      <c r="E309"/>
      <c r="F309" s="9"/>
      <c r="G309"/>
      <c r="H309"/>
      <c r="I309"/>
    </row>
    <row r="310" spans="1:9" ht="15">
      <c r="A310" s="749">
        <v>6</v>
      </c>
      <c r="B310" s="729" t="s">
        <v>859</v>
      </c>
      <c r="C310" s="730"/>
      <c r="D310" s="731">
        <f t="shared" si="13"/>
        <v>0</v>
      </c>
      <c r="E310"/>
      <c r="F310" s="9"/>
      <c r="G310"/>
      <c r="H310"/>
      <c r="I310"/>
    </row>
    <row r="311" spans="1:9" ht="15">
      <c r="A311" s="749">
        <v>7</v>
      </c>
      <c r="B311" s="729" t="s">
        <v>860</v>
      </c>
      <c r="C311" s="730">
        <f>32400-5180</f>
        <v>27220</v>
      </c>
      <c r="D311" s="731">
        <f t="shared" si="13"/>
        <v>27220</v>
      </c>
      <c r="E311"/>
      <c r="F311" s="9"/>
      <c r="G311"/>
      <c r="H311"/>
      <c r="I311"/>
    </row>
    <row r="312" spans="1:9" ht="15">
      <c r="A312" s="749">
        <v>8</v>
      </c>
      <c r="B312" s="729" t="s">
        <v>861</v>
      </c>
      <c r="C312" s="730"/>
      <c r="D312" s="731">
        <f t="shared" si="13"/>
        <v>0</v>
      </c>
      <c r="E312"/>
      <c r="F312" s="9"/>
      <c r="G312"/>
      <c r="H312"/>
      <c r="I312"/>
    </row>
    <row r="313" spans="1:9" ht="15">
      <c r="A313" s="749">
        <v>9</v>
      </c>
      <c r="B313" s="729" t="s">
        <v>862</v>
      </c>
      <c r="C313" s="730">
        <f>82100-13130-13000</f>
        <v>55970</v>
      </c>
      <c r="D313" s="731">
        <f t="shared" si="13"/>
        <v>55970</v>
      </c>
      <c r="E313"/>
      <c r="F313" s="9"/>
      <c r="G313"/>
      <c r="H313"/>
      <c r="I313"/>
    </row>
    <row r="314" spans="1:9" ht="15">
      <c r="A314" s="749">
        <v>10</v>
      </c>
      <c r="B314" s="729" t="s">
        <v>863</v>
      </c>
      <c r="C314" s="730"/>
      <c r="D314" s="731">
        <f t="shared" si="13"/>
        <v>0</v>
      </c>
      <c r="E314"/>
      <c r="F314" s="9"/>
      <c r="G314"/>
      <c r="H314"/>
      <c r="I314"/>
    </row>
    <row r="315" spans="1:9" ht="15">
      <c r="A315" s="749">
        <v>11</v>
      </c>
      <c r="B315" s="729" t="s">
        <v>864</v>
      </c>
      <c r="C315" s="730"/>
      <c r="D315" s="731">
        <f t="shared" si="13"/>
        <v>0</v>
      </c>
      <c r="E315"/>
      <c r="F315" s="9"/>
      <c r="G315"/>
      <c r="H315"/>
      <c r="I315"/>
    </row>
    <row r="316" spans="1:9" ht="15">
      <c r="A316" s="749">
        <v>12</v>
      </c>
      <c r="B316" s="729" t="s">
        <v>865</v>
      </c>
      <c r="C316" s="730"/>
      <c r="D316" s="731">
        <f t="shared" si="13"/>
        <v>0</v>
      </c>
      <c r="E316"/>
      <c r="F316" s="9"/>
      <c r="G316"/>
      <c r="H316"/>
      <c r="I316"/>
    </row>
    <row r="317" spans="1:9" ht="15">
      <c r="A317" s="749">
        <v>13</v>
      </c>
      <c r="B317" s="729" t="s">
        <v>866</v>
      </c>
      <c r="C317" s="730"/>
      <c r="D317" s="731">
        <f t="shared" si="13"/>
        <v>0</v>
      </c>
      <c r="E317"/>
      <c r="F317" s="9"/>
      <c r="G317"/>
      <c r="H317"/>
      <c r="I317"/>
    </row>
    <row r="318" spans="1:9" ht="15">
      <c r="A318" s="749">
        <v>14</v>
      </c>
      <c r="B318" s="729" t="s">
        <v>867</v>
      </c>
      <c r="C318" s="730"/>
      <c r="D318" s="731">
        <f t="shared" si="13"/>
        <v>0</v>
      </c>
      <c r="E318"/>
      <c r="F318" s="9"/>
      <c r="G318"/>
      <c r="H318"/>
      <c r="I318"/>
    </row>
    <row r="319" spans="1:9" ht="15">
      <c r="A319" s="749">
        <v>15</v>
      </c>
      <c r="B319" s="729" t="s">
        <v>868</v>
      </c>
      <c r="C319" s="730"/>
      <c r="D319" s="731">
        <f t="shared" si="13"/>
        <v>0</v>
      </c>
      <c r="E319"/>
      <c r="F319" s="9"/>
      <c r="G319"/>
      <c r="H319"/>
      <c r="I319"/>
    </row>
    <row r="320" spans="1:9" ht="15">
      <c r="A320" s="749">
        <v>16</v>
      </c>
      <c r="B320" s="729" t="s">
        <v>869</v>
      </c>
      <c r="C320" s="730"/>
      <c r="D320" s="731">
        <f t="shared" si="13"/>
        <v>0</v>
      </c>
      <c r="E320"/>
      <c r="F320" s="9"/>
      <c r="G320"/>
      <c r="H320"/>
      <c r="I320"/>
    </row>
    <row r="321" spans="1:9" ht="15">
      <c r="A321" s="749">
        <v>17</v>
      </c>
      <c r="B321" s="729" t="s">
        <v>870</v>
      </c>
      <c r="C321" s="730">
        <f>12000-1920</f>
        <v>10080</v>
      </c>
      <c r="D321" s="731">
        <f t="shared" si="13"/>
        <v>10080</v>
      </c>
      <c r="E321"/>
      <c r="F321" s="9"/>
      <c r="G321"/>
      <c r="H321"/>
      <c r="I321"/>
    </row>
    <row r="322" spans="1:9" ht="15">
      <c r="A322" s="749">
        <v>18</v>
      </c>
      <c r="B322" s="729" t="s">
        <v>871</v>
      </c>
      <c r="C322" s="730"/>
      <c r="D322" s="731">
        <f t="shared" si="13"/>
        <v>0</v>
      </c>
      <c r="E322"/>
      <c r="F322" s="9"/>
      <c r="G322"/>
      <c r="H322"/>
      <c r="I322"/>
    </row>
    <row r="323" spans="1:9" ht="15">
      <c r="A323" s="749">
        <v>19</v>
      </c>
      <c r="B323" s="729" t="s">
        <v>872</v>
      </c>
      <c r="C323" s="730"/>
      <c r="D323" s="731">
        <f t="shared" si="13"/>
        <v>0</v>
      </c>
      <c r="E323"/>
      <c r="F323" s="9"/>
      <c r="G323"/>
      <c r="H323"/>
      <c r="I323"/>
    </row>
    <row r="324" spans="1:9" ht="15">
      <c r="A324" s="749">
        <v>20</v>
      </c>
      <c r="B324" s="729" t="s">
        <v>873</v>
      </c>
      <c r="C324" s="730"/>
      <c r="D324" s="731">
        <f t="shared" si="13"/>
        <v>0</v>
      </c>
      <c r="E324"/>
      <c r="F324" s="9"/>
      <c r="G324"/>
      <c r="H324"/>
      <c r="I324"/>
    </row>
    <row r="325" spans="1:9" ht="15">
      <c r="A325" s="749">
        <v>21</v>
      </c>
      <c r="B325" s="729" t="s">
        <v>874</v>
      </c>
      <c r="C325" s="730">
        <f>1550-250</f>
        <v>1300</v>
      </c>
      <c r="D325" s="731">
        <f t="shared" si="13"/>
        <v>1300</v>
      </c>
      <c r="E325"/>
      <c r="F325" s="9"/>
      <c r="G325"/>
      <c r="H325"/>
      <c r="I325"/>
    </row>
    <row r="326" spans="1:9" ht="15">
      <c r="A326" s="749" t="s">
        <v>106</v>
      </c>
      <c r="B326" s="729" t="s">
        <v>117</v>
      </c>
      <c r="C326" s="730">
        <f>90000-14400</f>
        <v>75600</v>
      </c>
      <c r="D326" s="731">
        <f t="shared" si="13"/>
        <v>75600</v>
      </c>
      <c r="E326"/>
      <c r="F326" s="9"/>
      <c r="G326"/>
      <c r="H326"/>
      <c r="I326"/>
    </row>
    <row r="327" spans="1:9" ht="15">
      <c r="A327" s="732"/>
      <c r="B327" s="725" t="s">
        <v>638</v>
      </c>
      <c r="C327" s="731">
        <f>SUM(C305:C326)</f>
        <v>170170</v>
      </c>
      <c r="D327" s="731">
        <f>SUM(D305:D326)</f>
        <v>170170</v>
      </c>
      <c r="E327"/>
      <c r="F327"/>
      <c r="G327"/>
      <c r="H327"/>
      <c r="I327"/>
    </row>
    <row r="328" spans="1:4" ht="14.25">
      <c r="A328" s="722"/>
      <c r="B328" s="722"/>
      <c r="C328" s="722"/>
      <c r="D328" s="722"/>
    </row>
    <row r="329" spans="1:9" ht="15">
      <c r="A329" s="724" t="s">
        <v>621</v>
      </c>
      <c r="B329" s="725" t="s">
        <v>1016</v>
      </c>
      <c r="C329" s="724" t="s">
        <v>1014</v>
      </c>
      <c r="D329" s="724" t="s">
        <v>638</v>
      </c>
      <c r="E329"/>
      <c r="F329"/>
      <c r="G329"/>
      <c r="H329"/>
      <c r="I329"/>
    </row>
    <row r="330" spans="1:9" ht="15">
      <c r="A330" s="724"/>
      <c r="B330" s="726"/>
      <c r="C330" s="724" t="s">
        <v>1046</v>
      </c>
      <c r="D330" s="724"/>
      <c r="E330"/>
      <c r="F330"/>
      <c r="G330"/>
      <c r="H330"/>
      <c r="I330"/>
    </row>
    <row r="331" spans="1:4" ht="15">
      <c r="A331" s="727" t="s">
        <v>1003</v>
      </c>
      <c r="B331" s="722"/>
      <c r="C331" s="722"/>
      <c r="D331" s="722"/>
    </row>
    <row r="332" spans="1:9" ht="15">
      <c r="A332" s="749">
        <v>1</v>
      </c>
      <c r="B332" s="729" t="s">
        <v>875</v>
      </c>
      <c r="C332" s="730"/>
      <c r="D332" s="731">
        <f aca="true" t="shared" si="14" ref="D332:D342">SUM(C332:C332)</f>
        <v>0</v>
      </c>
      <c r="E332"/>
      <c r="F332"/>
      <c r="G332"/>
      <c r="H332"/>
      <c r="I332"/>
    </row>
    <row r="333" spans="1:9" ht="15">
      <c r="A333" s="749">
        <v>2</v>
      </c>
      <c r="B333" s="729" t="s">
        <v>876</v>
      </c>
      <c r="C333" s="730"/>
      <c r="D333" s="731">
        <f t="shared" si="14"/>
        <v>0</v>
      </c>
      <c r="E333"/>
      <c r="F333"/>
      <c r="G333"/>
      <c r="H333"/>
      <c r="I333"/>
    </row>
    <row r="334" spans="1:9" ht="15">
      <c r="A334" s="749">
        <v>3</v>
      </c>
      <c r="B334" s="729" t="s">
        <v>877</v>
      </c>
      <c r="C334" s="730"/>
      <c r="D334" s="731">
        <f t="shared" si="14"/>
        <v>0</v>
      </c>
      <c r="E334"/>
      <c r="F334"/>
      <c r="G334"/>
      <c r="H334"/>
      <c r="I334"/>
    </row>
    <row r="335" spans="1:9" ht="15">
      <c r="A335" s="749">
        <v>4</v>
      </c>
      <c r="B335" s="729" t="s">
        <v>878</v>
      </c>
      <c r="C335" s="730"/>
      <c r="D335" s="731">
        <f t="shared" si="14"/>
        <v>0</v>
      </c>
      <c r="E335"/>
      <c r="F335"/>
      <c r="G335"/>
      <c r="H335"/>
      <c r="I335"/>
    </row>
    <row r="336" spans="1:9" ht="15">
      <c r="A336" s="749">
        <v>5</v>
      </c>
      <c r="B336" s="729" t="s">
        <v>879</v>
      </c>
      <c r="C336" s="730"/>
      <c r="D336" s="731">
        <f t="shared" si="14"/>
        <v>0</v>
      </c>
      <c r="E336"/>
      <c r="F336"/>
      <c r="G336"/>
      <c r="H336"/>
      <c r="I336"/>
    </row>
    <row r="337" spans="1:9" ht="15">
      <c r="A337" s="749">
        <v>6</v>
      </c>
      <c r="B337" s="729" t="s">
        <v>880</v>
      </c>
      <c r="C337" s="730"/>
      <c r="D337" s="731">
        <f t="shared" si="14"/>
        <v>0</v>
      </c>
      <c r="E337"/>
      <c r="F337"/>
      <c r="G337"/>
      <c r="H337"/>
      <c r="I337"/>
    </row>
    <row r="338" spans="1:9" ht="15">
      <c r="A338" s="749">
        <v>7</v>
      </c>
      <c r="B338" s="729" t="s">
        <v>893</v>
      </c>
      <c r="C338" s="730"/>
      <c r="D338" s="731">
        <f t="shared" si="14"/>
        <v>0</v>
      </c>
      <c r="E338"/>
      <c r="F338"/>
      <c r="G338"/>
      <c r="H338"/>
      <c r="I338"/>
    </row>
    <row r="339" spans="1:9" ht="15">
      <c r="A339" s="749">
        <v>8</v>
      </c>
      <c r="B339" s="729" t="s">
        <v>894</v>
      </c>
      <c r="C339" s="730"/>
      <c r="D339" s="731">
        <f t="shared" si="14"/>
        <v>0</v>
      </c>
      <c r="E339"/>
      <c r="F339"/>
      <c r="G339"/>
      <c r="H339"/>
      <c r="I339"/>
    </row>
    <row r="340" spans="1:9" ht="15">
      <c r="A340" s="749">
        <v>9</v>
      </c>
      <c r="B340" s="729" t="s">
        <v>897</v>
      </c>
      <c r="C340" s="730"/>
      <c r="D340" s="731">
        <f t="shared" si="14"/>
        <v>0</v>
      </c>
      <c r="E340"/>
      <c r="F340"/>
      <c r="G340"/>
      <c r="H340"/>
      <c r="I340"/>
    </row>
    <row r="341" spans="1:9" ht="15">
      <c r="A341" s="749">
        <v>10</v>
      </c>
      <c r="B341" s="729" t="s">
        <v>895</v>
      </c>
      <c r="C341" s="730"/>
      <c r="D341" s="731">
        <f t="shared" si="14"/>
        <v>0</v>
      </c>
      <c r="E341"/>
      <c r="F341"/>
      <c r="G341"/>
      <c r="H341"/>
      <c r="I341"/>
    </row>
    <row r="342" spans="1:9" ht="15">
      <c r="A342" s="749" t="s">
        <v>911</v>
      </c>
      <c r="B342" s="729" t="s">
        <v>738</v>
      </c>
      <c r="C342" s="730">
        <f>900-140</f>
        <v>760</v>
      </c>
      <c r="D342" s="731">
        <f t="shared" si="14"/>
        <v>760</v>
      </c>
      <c r="E342"/>
      <c r="F342" s="9"/>
      <c r="G342"/>
      <c r="H342"/>
      <c r="I342"/>
    </row>
    <row r="343" spans="1:9" ht="15">
      <c r="A343" s="732"/>
      <c r="B343" s="725" t="s">
        <v>638</v>
      </c>
      <c r="C343" s="731">
        <f>SUM(C332:C342)</f>
        <v>760</v>
      </c>
      <c r="D343" s="731">
        <f>SUM(D332:D342)</f>
        <v>760</v>
      </c>
      <c r="E343"/>
      <c r="F343"/>
      <c r="G343"/>
      <c r="H343"/>
      <c r="I343"/>
    </row>
    <row r="344" spans="1:4" ht="14.25">
      <c r="A344" s="722"/>
      <c r="B344" s="722"/>
      <c r="C344" s="722"/>
      <c r="D344" s="722"/>
    </row>
    <row r="345" spans="1:9" ht="15">
      <c r="A345" s="750" t="str">
        <f>+A273</f>
        <v> </v>
      </c>
      <c r="B345" s="751"/>
      <c r="C345" s="751"/>
      <c r="D345" s="751"/>
      <c r="E345" s="751"/>
      <c r="F345" s="751"/>
      <c r="G345" s="752" t="s">
        <v>363</v>
      </c>
      <c r="H345" s="722"/>
      <c r="I345" s="722"/>
    </row>
    <row r="346" spans="1:9" ht="15">
      <c r="A346" s="774" t="str">
        <f>+B274</f>
        <v>PRESUPUESTO 2008</v>
      </c>
      <c r="B346" s="774"/>
      <c r="C346" s="774"/>
      <c r="D346" s="774"/>
      <c r="E346" s="774"/>
      <c r="F346" s="774"/>
      <c r="G346" s="774"/>
      <c r="H346" s="697"/>
      <c r="I346" s="722"/>
    </row>
    <row r="347" spans="1:9" ht="15">
      <c r="A347" s="753" t="str">
        <f>+A275</f>
        <v>Juris.:</v>
      </c>
      <c r="B347" s="774" t="s">
        <v>1047</v>
      </c>
      <c r="C347" s="774"/>
      <c r="D347" s="751"/>
      <c r="E347" s="751"/>
      <c r="F347" s="751"/>
      <c r="G347" s="751"/>
      <c r="H347" s="722"/>
      <c r="I347" s="722"/>
    </row>
    <row r="348" spans="1:9" ht="15">
      <c r="A348" s="723" t="s">
        <v>1012</v>
      </c>
      <c r="B348" s="109"/>
      <c r="C348" s="722"/>
      <c r="D348" s="722"/>
      <c r="E348" s="722"/>
      <c r="F348" s="722"/>
      <c r="G348" s="722"/>
      <c r="H348" s="722"/>
      <c r="I348" s="722"/>
    </row>
    <row r="349" spans="1:10" ht="14.25">
      <c r="A349" s="722"/>
      <c r="B349" s="722"/>
      <c r="C349" s="722"/>
      <c r="D349" s="722"/>
      <c r="E349" s="722"/>
      <c r="F349" s="722"/>
      <c r="G349" s="722"/>
      <c r="H349" s="722"/>
      <c r="I349" s="722"/>
      <c r="J349" s="48"/>
    </row>
    <row r="350" spans="1:10" ht="15">
      <c r="A350" s="724" t="s">
        <v>621</v>
      </c>
      <c r="B350" s="725" t="s">
        <v>996</v>
      </c>
      <c r="C350" s="724" t="s">
        <v>1014</v>
      </c>
      <c r="D350" s="724" t="s">
        <v>1048</v>
      </c>
      <c r="E350" s="724" t="s">
        <v>158</v>
      </c>
      <c r="F350" s="724" t="s">
        <v>1049</v>
      </c>
      <c r="G350" s="724" t="s">
        <v>1060</v>
      </c>
      <c r="H350" s="724" t="s">
        <v>558</v>
      </c>
      <c r="I350" s="724" t="s">
        <v>638</v>
      </c>
      <c r="J350" s="48"/>
    </row>
    <row r="351" spans="1:11" ht="15">
      <c r="A351" s="724"/>
      <c r="B351" s="726"/>
      <c r="C351" s="724" t="s">
        <v>1050</v>
      </c>
      <c r="D351" s="724" t="s">
        <v>1051</v>
      </c>
      <c r="E351" s="724" t="s">
        <v>1052</v>
      </c>
      <c r="F351" s="724" t="s">
        <v>1053</v>
      </c>
      <c r="G351" s="724" t="s">
        <v>1059</v>
      </c>
      <c r="H351" s="724" t="s">
        <v>555</v>
      </c>
      <c r="I351" s="724"/>
      <c r="J351" s="48"/>
      <c r="K351" s="564"/>
    </row>
    <row r="352" spans="1:11" ht="15">
      <c r="A352" s="727" t="s">
        <v>995</v>
      </c>
      <c r="B352" s="722"/>
      <c r="C352" s="722"/>
      <c r="D352" s="722"/>
      <c r="E352" s="722"/>
      <c r="F352" s="722"/>
      <c r="G352" s="722"/>
      <c r="H352" s="722"/>
      <c r="I352" s="722"/>
      <c r="J352" s="48"/>
      <c r="K352" s="48"/>
    </row>
    <row r="353" spans="1:11" ht="15">
      <c r="A353" s="728" t="s">
        <v>666</v>
      </c>
      <c r="B353" s="729" t="s">
        <v>667</v>
      </c>
      <c r="C353" s="730">
        <v>184030</v>
      </c>
      <c r="D353" s="730">
        <v>264500</v>
      </c>
      <c r="E353" s="730">
        <v>144590</v>
      </c>
      <c r="F353" s="730">
        <f>864660-100000</f>
        <v>764660</v>
      </c>
      <c r="G353" s="730">
        <f>839670-108480</f>
        <v>731190</v>
      </c>
      <c r="H353" s="730">
        <v>264580</v>
      </c>
      <c r="I353" s="731">
        <f>SUM(C353:H353)</f>
        <v>2353550</v>
      </c>
      <c r="J353" s="48"/>
      <c r="K353" s="9"/>
    </row>
    <row r="354" spans="1:11" ht="15">
      <c r="A354" s="728" t="s">
        <v>668</v>
      </c>
      <c r="B354" s="729" t="s">
        <v>669</v>
      </c>
      <c r="C354" s="730">
        <v>22890</v>
      </c>
      <c r="D354" s="730">
        <v>130800</v>
      </c>
      <c r="E354" s="730">
        <v>82230</v>
      </c>
      <c r="F354" s="730">
        <f>395850-90000</f>
        <v>305850</v>
      </c>
      <c r="G354" s="730">
        <f>393390-46230</f>
        <v>347160</v>
      </c>
      <c r="H354" s="730">
        <v>130800</v>
      </c>
      <c r="I354" s="731">
        <f aca="true" t="shared" si="15" ref="I354:I366">SUM(C354:H354)</f>
        <v>1019730</v>
      </c>
      <c r="J354" s="48"/>
      <c r="K354" s="9"/>
    </row>
    <row r="355" spans="1:11" ht="15">
      <c r="A355" s="728" t="s">
        <v>670</v>
      </c>
      <c r="B355" s="729" t="s">
        <v>726</v>
      </c>
      <c r="C355" s="730">
        <v>0</v>
      </c>
      <c r="D355" s="730">
        <v>0</v>
      </c>
      <c r="E355" s="730">
        <v>0</v>
      </c>
      <c r="F355" s="730">
        <v>0</v>
      </c>
      <c r="G355" s="730">
        <v>0</v>
      </c>
      <c r="H355" s="730">
        <v>0</v>
      </c>
      <c r="I355" s="731">
        <f t="shared" si="15"/>
        <v>0</v>
      </c>
      <c r="J355" s="48"/>
      <c r="K355" s="9"/>
    </row>
    <row r="356" spans="1:11" ht="15">
      <c r="A356" s="728" t="s">
        <v>672</v>
      </c>
      <c r="B356" s="729" t="s">
        <v>671</v>
      </c>
      <c r="C356" s="730">
        <v>0</v>
      </c>
      <c r="D356" s="730">
        <v>0</v>
      </c>
      <c r="E356" s="730">
        <v>0</v>
      </c>
      <c r="F356" s="730">
        <v>0</v>
      </c>
      <c r="G356" s="730">
        <f>24350-970</f>
        <v>23380</v>
      </c>
      <c r="H356" s="730">
        <v>0</v>
      </c>
      <c r="I356" s="731">
        <f t="shared" si="15"/>
        <v>23380</v>
      </c>
      <c r="J356" s="48"/>
      <c r="K356" s="9"/>
    </row>
    <row r="357" spans="1:11" ht="15">
      <c r="A357" s="728" t="s">
        <v>673</v>
      </c>
      <c r="B357" s="729" t="s">
        <v>674</v>
      </c>
      <c r="C357" s="730">
        <v>61150</v>
      </c>
      <c r="D357" s="730">
        <v>24400</v>
      </c>
      <c r="E357" s="730">
        <v>121740</v>
      </c>
      <c r="F357" s="730">
        <f>480040-8000</f>
        <v>472040</v>
      </c>
      <c r="G357" s="730">
        <f>442260-99140</f>
        <v>343120</v>
      </c>
      <c r="H357" s="730">
        <v>24000</v>
      </c>
      <c r="I357" s="731">
        <f t="shared" si="15"/>
        <v>1046450</v>
      </c>
      <c r="J357" s="48"/>
      <c r="K357" s="9"/>
    </row>
    <row r="358" spans="1:11" ht="15">
      <c r="A358" s="728" t="s">
        <v>675</v>
      </c>
      <c r="B358" s="729" t="s">
        <v>727</v>
      </c>
      <c r="C358" s="730">
        <v>7260</v>
      </c>
      <c r="D358" s="730">
        <f>478740-50000</f>
        <v>428740</v>
      </c>
      <c r="E358" s="730">
        <v>15870</v>
      </c>
      <c r="F358" s="730">
        <v>71760</v>
      </c>
      <c r="G358" s="730">
        <f>77620-27880</f>
        <v>49740</v>
      </c>
      <c r="H358" s="730">
        <v>45870</v>
      </c>
      <c r="I358" s="731">
        <f t="shared" si="15"/>
        <v>619240</v>
      </c>
      <c r="J358" s="48"/>
      <c r="K358" s="9"/>
    </row>
    <row r="359" spans="1:11" ht="15">
      <c r="A359" s="728" t="s">
        <v>677</v>
      </c>
      <c r="B359" s="729" t="s">
        <v>676</v>
      </c>
      <c r="C359" s="730">
        <v>22230</v>
      </c>
      <c r="D359" s="730">
        <v>56000</v>
      </c>
      <c r="E359" s="730">
        <v>29830</v>
      </c>
      <c r="F359" s="730">
        <f>146330-5000</f>
        <v>141330</v>
      </c>
      <c r="G359" s="730">
        <f>144940-18210</f>
        <v>126730</v>
      </c>
      <c r="H359" s="730">
        <v>56130</v>
      </c>
      <c r="I359" s="731">
        <f t="shared" si="15"/>
        <v>432250</v>
      </c>
      <c r="J359" s="48"/>
      <c r="K359" s="9"/>
    </row>
    <row r="360" spans="1:11" ht="15">
      <c r="A360" s="728" t="s">
        <v>679</v>
      </c>
      <c r="B360" s="729" t="s">
        <v>678</v>
      </c>
      <c r="C360" s="730">
        <v>22900</v>
      </c>
      <c r="D360" s="730">
        <v>5200</v>
      </c>
      <c r="E360" s="730">
        <v>49840</v>
      </c>
      <c r="F360" s="730">
        <f>300780-80000</f>
        <v>220780</v>
      </c>
      <c r="G360" s="730">
        <f>219330-24130</f>
        <v>195200</v>
      </c>
      <c r="H360" s="730">
        <v>5210</v>
      </c>
      <c r="I360" s="731">
        <f t="shared" si="15"/>
        <v>499130</v>
      </c>
      <c r="J360" s="48"/>
      <c r="K360" s="9"/>
    </row>
    <row r="361" spans="1:11" ht="15">
      <c r="A361" s="728" t="s">
        <v>680</v>
      </c>
      <c r="B361" s="729" t="s">
        <v>728</v>
      </c>
      <c r="C361" s="730">
        <v>0</v>
      </c>
      <c r="D361" s="730">
        <v>0</v>
      </c>
      <c r="E361" s="730">
        <v>0</v>
      </c>
      <c r="F361" s="730">
        <v>0</v>
      </c>
      <c r="G361" s="730">
        <f>5520-220</f>
        <v>5300</v>
      </c>
      <c r="H361" s="730">
        <v>0</v>
      </c>
      <c r="I361" s="731">
        <f t="shared" si="15"/>
        <v>5300</v>
      </c>
      <c r="J361" s="48"/>
      <c r="K361" s="9"/>
    </row>
    <row r="362" spans="1:11" ht="15">
      <c r="A362" s="728" t="s">
        <v>681</v>
      </c>
      <c r="B362" s="729" t="s">
        <v>730</v>
      </c>
      <c r="C362" s="730">
        <v>22600</v>
      </c>
      <c r="D362" s="730">
        <v>88900</v>
      </c>
      <c r="E362" s="730">
        <v>44990</v>
      </c>
      <c r="F362" s="730">
        <v>177090</v>
      </c>
      <c r="G362" s="730">
        <f>163530-23440</f>
        <v>140090</v>
      </c>
      <c r="H362" s="730">
        <v>88960</v>
      </c>
      <c r="I362" s="731">
        <f t="shared" si="15"/>
        <v>562630</v>
      </c>
      <c r="J362" s="48"/>
      <c r="K362" s="9"/>
    </row>
    <row r="363" spans="1:11" ht="15">
      <c r="A363" s="728" t="s">
        <v>725</v>
      </c>
      <c r="B363" s="729" t="s">
        <v>731</v>
      </c>
      <c r="C363" s="730">
        <v>24570</v>
      </c>
      <c r="D363" s="730">
        <v>78280</v>
      </c>
      <c r="E363" s="730">
        <v>39790</v>
      </c>
      <c r="F363" s="730">
        <f>251040-45000</f>
        <v>206040</v>
      </c>
      <c r="G363" s="730">
        <f>250780-58910</f>
        <v>191870</v>
      </c>
      <c r="H363" s="730">
        <v>78280</v>
      </c>
      <c r="I363" s="731">
        <f t="shared" si="15"/>
        <v>618830</v>
      </c>
      <c r="J363" s="48"/>
      <c r="K363" s="9"/>
    </row>
    <row r="364" spans="1:11" ht="15">
      <c r="A364" s="728" t="s">
        <v>729</v>
      </c>
      <c r="B364" s="729" t="s">
        <v>732</v>
      </c>
      <c r="C364" s="730">
        <v>17250</v>
      </c>
      <c r="D364" s="730">
        <v>50500</v>
      </c>
      <c r="E364" s="730">
        <v>24580</v>
      </c>
      <c r="F364" s="730">
        <f>162170-35000</f>
        <v>127170</v>
      </c>
      <c r="G364" s="730">
        <f>55650-14420</f>
        <v>41230</v>
      </c>
      <c r="H364" s="730">
        <v>50570</v>
      </c>
      <c r="I364" s="731">
        <f t="shared" si="15"/>
        <v>311300</v>
      </c>
      <c r="J364" s="48"/>
      <c r="K364" s="9"/>
    </row>
    <row r="365" spans="1:11" ht="15">
      <c r="A365" s="728" t="s">
        <v>733</v>
      </c>
      <c r="B365" s="729" t="s">
        <v>735</v>
      </c>
      <c r="C365" s="730">
        <v>2870</v>
      </c>
      <c r="D365" s="730">
        <v>8400</v>
      </c>
      <c r="E365" s="730">
        <v>4680</v>
      </c>
      <c r="F365" s="730">
        <v>27060</v>
      </c>
      <c r="G365" s="730">
        <f>26160-3100</f>
        <v>23060</v>
      </c>
      <c r="H365" s="730">
        <v>8430</v>
      </c>
      <c r="I365" s="731">
        <f t="shared" si="15"/>
        <v>74500</v>
      </c>
      <c r="J365" s="48"/>
      <c r="K365" s="9"/>
    </row>
    <row r="366" spans="1:11" ht="15">
      <c r="A366" s="728" t="s">
        <v>734</v>
      </c>
      <c r="B366" s="729" t="s">
        <v>736</v>
      </c>
      <c r="C366" s="730">
        <v>0</v>
      </c>
      <c r="D366" s="730">
        <v>0</v>
      </c>
      <c r="E366" s="730">
        <v>0</v>
      </c>
      <c r="F366" s="730">
        <v>0</v>
      </c>
      <c r="G366" s="730">
        <v>0</v>
      </c>
      <c r="H366" s="730">
        <v>0</v>
      </c>
      <c r="I366" s="731">
        <f t="shared" si="15"/>
        <v>0</v>
      </c>
      <c r="J366" s="48"/>
      <c r="K366" s="9"/>
    </row>
    <row r="367" spans="1:10" ht="15">
      <c r="A367" s="732"/>
      <c r="B367" s="725" t="s">
        <v>638</v>
      </c>
      <c r="C367" s="731">
        <f aca="true" t="shared" si="16" ref="C367:I367">SUM(C353:C366)</f>
        <v>387750</v>
      </c>
      <c r="D367" s="731">
        <f t="shared" si="16"/>
        <v>1135720</v>
      </c>
      <c r="E367" s="731">
        <f t="shared" si="16"/>
        <v>558140</v>
      </c>
      <c r="F367" s="731">
        <f t="shared" si="16"/>
        <v>2513780</v>
      </c>
      <c r="G367" s="731">
        <f t="shared" si="16"/>
        <v>2218070</v>
      </c>
      <c r="H367" s="731">
        <f t="shared" si="16"/>
        <v>752830</v>
      </c>
      <c r="I367" s="731">
        <f t="shared" si="16"/>
        <v>7566290</v>
      </c>
      <c r="J367" s="48"/>
    </row>
    <row r="368" spans="1:10" ht="14.25">
      <c r="A368" s="722"/>
      <c r="B368" s="722"/>
      <c r="C368" s="722"/>
      <c r="D368" s="722"/>
      <c r="E368" s="722"/>
      <c r="F368" s="722"/>
      <c r="G368" s="722"/>
      <c r="H368" s="722"/>
      <c r="I368" s="722"/>
      <c r="J368" s="48"/>
    </row>
    <row r="369" spans="1:10" ht="15">
      <c r="A369" s="724" t="s">
        <v>621</v>
      </c>
      <c r="B369" s="725" t="s">
        <v>998</v>
      </c>
      <c r="C369" s="724" t="s">
        <v>1014</v>
      </c>
      <c r="D369" s="724" t="s">
        <v>1048</v>
      </c>
      <c r="E369" s="724" t="s">
        <v>158</v>
      </c>
      <c r="F369" s="724" t="s">
        <v>1049</v>
      </c>
      <c r="G369" s="724" t="s">
        <v>1060</v>
      </c>
      <c r="H369" s="724" t="s">
        <v>558</v>
      </c>
      <c r="I369" s="724" t="s">
        <v>638</v>
      </c>
      <c r="J369" s="48"/>
    </row>
    <row r="370" spans="1:10" ht="15">
      <c r="A370" s="724"/>
      <c r="B370" s="726"/>
      <c r="C370" s="724" t="s">
        <v>1050</v>
      </c>
      <c r="D370" s="724" t="s">
        <v>1051</v>
      </c>
      <c r="E370" s="724" t="s">
        <v>1052</v>
      </c>
      <c r="F370" s="724" t="s">
        <v>1053</v>
      </c>
      <c r="G370" s="724" t="s">
        <v>1059</v>
      </c>
      <c r="H370" s="724" t="s">
        <v>555</v>
      </c>
      <c r="I370" s="724"/>
      <c r="J370" s="48"/>
    </row>
    <row r="371" spans="1:10" ht="15">
      <c r="A371" s="727" t="s">
        <v>999</v>
      </c>
      <c r="B371" s="722"/>
      <c r="C371" s="722"/>
      <c r="D371" s="722"/>
      <c r="E371" s="722"/>
      <c r="F371" s="722"/>
      <c r="G371" s="722"/>
      <c r="H371" s="722"/>
      <c r="I371" s="722"/>
      <c r="J371" s="48"/>
    </row>
    <row r="372" spans="1:11" ht="15">
      <c r="A372" s="728" t="s">
        <v>666</v>
      </c>
      <c r="B372" s="729" t="s">
        <v>667</v>
      </c>
      <c r="C372" s="730">
        <v>22840</v>
      </c>
      <c r="D372" s="730">
        <v>6250</v>
      </c>
      <c r="E372" s="730">
        <v>85380</v>
      </c>
      <c r="F372" s="730">
        <f>583070-28390</f>
        <v>554680</v>
      </c>
      <c r="G372" s="730">
        <v>12390</v>
      </c>
      <c r="H372" s="730"/>
      <c r="I372" s="731">
        <f aca="true" t="shared" si="17" ref="I372:I385">SUM(C372:H372)</f>
        <v>681540</v>
      </c>
      <c r="J372" s="48"/>
      <c r="K372" s="9"/>
    </row>
    <row r="373" spans="1:11" ht="15">
      <c r="A373" s="728" t="s">
        <v>668</v>
      </c>
      <c r="B373" s="729" t="s">
        <v>669</v>
      </c>
      <c r="C373" s="730">
        <v>2330</v>
      </c>
      <c r="D373" s="730">
        <v>160</v>
      </c>
      <c r="E373" s="730">
        <v>7680</v>
      </c>
      <c r="F373" s="730">
        <f>7600-750</f>
        <v>6850</v>
      </c>
      <c r="G373" s="730">
        <v>1180</v>
      </c>
      <c r="H373" s="730"/>
      <c r="I373" s="731">
        <f t="shared" si="17"/>
        <v>18200</v>
      </c>
      <c r="J373" s="48"/>
      <c r="K373" s="9"/>
    </row>
    <row r="374" spans="1:11" ht="15">
      <c r="A374" s="728" t="s">
        <v>670</v>
      </c>
      <c r="B374" s="729" t="s">
        <v>726</v>
      </c>
      <c r="C374" s="730">
        <v>0</v>
      </c>
      <c r="D374" s="730">
        <v>0</v>
      </c>
      <c r="E374" s="730">
        <v>0</v>
      </c>
      <c r="F374" s="730">
        <v>0</v>
      </c>
      <c r="G374" s="730">
        <v>0</v>
      </c>
      <c r="H374" s="730"/>
      <c r="I374" s="731">
        <f t="shared" si="17"/>
        <v>0</v>
      </c>
      <c r="J374" s="48"/>
      <c r="K374" s="9"/>
    </row>
    <row r="375" spans="1:11" ht="15">
      <c r="A375" s="728" t="s">
        <v>672</v>
      </c>
      <c r="B375" s="729" t="s">
        <v>671</v>
      </c>
      <c r="C375" s="730">
        <v>0</v>
      </c>
      <c r="D375" s="730">
        <v>0</v>
      </c>
      <c r="E375" s="730">
        <v>0</v>
      </c>
      <c r="F375" s="730">
        <v>0</v>
      </c>
      <c r="G375" s="730">
        <v>0</v>
      </c>
      <c r="H375" s="730"/>
      <c r="I375" s="731">
        <f t="shared" si="17"/>
        <v>0</v>
      </c>
      <c r="J375" s="48"/>
      <c r="K375" s="9"/>
    </row>
    <row r="376" spans="1:11" ht="15">
      <c r="A376" s="728" t="s">
        <v>673</v>
      </c>
      <c r="B376" s="729" t="s">
        <v>674</v>
      </c>
      <c r="C376" s="730">
        <v>42790</v>
      </c>
      <c r="D376" s="730">
        <v>19260</v>
      </c>
      <c r="E376" s="730">
        <v>178290</v>
      </c>
      <c r="F376" s="730">
        <f>249230-20570</f>
        <v>228660</v>
      </c>
      <c r="G376" s="730">
        <f>23830+1070</f>
        <v>24900</v>
      </c>
      <c r="H376" s="730"/>
      <c r="I376" s="731">
        <f t="shared" si="17"/>
        <v>493900</v>
      </c>
      <c r="J376" s="48"/>
      <c r="K376" s="9"/>
    </row>
    <row r="377" spans="1:11" ht="15">
      <c r="A377" s="728" t="s">
        <v>675</v>
      </c>
      <c r="B377" s="729" t="s">
        <v>727</v>
      </c>
      <c r="C377" s="730">
        <v>19030</v>
      </c>
      <c r="D377" s="730">
        <v>9510</v>
      </c>
      <c r="E377" s="730">
        <v>1610</v>
      </c>
      <c r="F377" s="730">
        <f>2810-1310</f>
        <v>1500</v>
      </c>
      <c r="G377" s="730">
        <v>0</v>
      </c>
      <c r="H377" s="730"/>
      <c r="I377" s="731">
        <f t="shared" si="17"/>
        <v>31650</v>
      </c>
      <c r="J377" s="48"/>
      <c r="K377" s="9"/>
    </row>
    <row r="378" spans="1:11" ht="15">
      <c r="A378" s="728" t="s">
        <v>677</v>
      </c>
      <c r="B378" s="729" t="s">
        <v>676</v>
      </c>
      <c r="C378" s="730">
        <v>8020</v>
      </c>
      <c r="D378" s="730">
        <v>3160</v>
      </c>
      <c r="E378" s="730">
        <v>24920</v>
      </c>
      <c r="F378" s="730">
        <f>31460-2840</f>
        <v>28620</v>
      </c>
      <c r="G378" s="730">
        <v>3540</v>
      </c>
      <c r="H378" s="730"/>
      <c r="I378" s="731">
        <f t="shared" si="17"/>
        <v>68260</v>
      </c>
      <c r="J378" s="48"/>
      <c r="K378" s="9"/>
    </row>
    <row r="379" spans="1:11" ht="15">
      <c r="A379" s="728" t="s">
        <v>679</v>
      </c>
      <c r="B379" s="729" t="s">
        <v>678</v>
      </c>
      <c r="C379" s="730">
        <v>15060</v>
      </c>
      <c r="D379" s="730">
        <v>30220</v>
      </c>
      <c r="E379" s="730">
        <v>54880</v>
      </c>
      <c r="F379" s="730">
        <f>58250-6810</f>
        <v>51440</v>
      </c>
      <c r="G379" s="730">
        <v>11960</v>
      </c>
      <c r="H379" s="730"/>
      <c r="I379" s="731">
        <f t="shared" si="17"/>
        <v>163560</v>
      </c>
      <c r="J379" s="48"/>
      <c r="K379" s="9"/>
    </row>
    <row r="380" spans="1:11" ht="15">
      <c r="A380" s="728" t="s">
        <v>680</v>
      </c>
      <c r="B380" s="729" t="s">
        <v>728</v>
      </c>
      <c r="C380" s="730">
        <v>0</v>
      </c>
      <c r="D380" s="730">
        <v>0</v>
      </c>
      <c r="E380" s="730">
        <v>0</v>
      </c>
      <c r="F380" s="730">
        <v>0</v>
      </c>
      <c r="G380" s="730">
        <v>8430</v>
      </c>
      <c r="H380" s="730"/>
      <c r="I380" s="731">
        <f t="shared" si="17"/>
        <v>8430</v>
      </c>
      <c r="J380" s="48"/>
      <c r="K380" s="9"/>
    </row>
    <row r="381" spans="1:11" ht="15">
      <c r="A381" s="728" t="s">
        <v>681</v>
      </c>
      <c r="B381" s="729" t="s">
        <v>730</v>
      </c>
      <c r="C381" s="730">
        <v>12750</v>
      </c>
      <c r="D381" s="730">
        <v>5760</v>
      </c>
      <c r="E381" s="730">
        <v>53330</v>
      </c>
      <c r="F381" s="730">
        <f>74290-6120</f>
        <v>68170</v>
      </c>
      <c r="G381" s="730">
        <v>7090</v>
      </c>
      <c r="H381" s="730"/>
      <c r="I381" s="731">
        <f t="shared" si="17"/>
        <v>147100</v>
      </c>
      <c r="J381" s="48"/>
      <c r="K381" s="9"/>
    </row>
    <row r="382" spans="1:11" ht="15">
      <c r="A382" s="728" t="s">
        <v>725</v>
      </c>
      <c r="B382" s="729" t="s">
        <v>731</v>
      </c>
      <c r="C382" s="730">
        <v>10790</v>
      </c>
      <c r="D382" s="730">
        <v>3390</v>
      </c>
      <c r="E382" s="730">
        <v>37100</v>
      </c>
      <c r="F382" s="730">
        <f>46320-4160</f>
        <v>42160</v>
      </c>
      <c r="G382" s="730">
        <v>6550</v>
      </c>
      <c r="H382" s="730"/>
      <c r="I382" s="731">
        <f t="shared" si="17"/>
        <v>99990</v>
      </c>
      <c r="J382" s="48"/>
      <c r="K382" s="9"/>
    </row>
    <row r="383" spans="1:11" ht="15">
      <c r="A383" s="728" t="s">
        <v>729</v>
      </c>
      <c r="B383" s="729" t="s">
        <v>732</v>
      </c>
      <c r="C383" s="730">
        <v>7400</v>
      </c>
      <c r="D383" s="730">
        <v>2290</v>
      </c>
      <c r="E383" s="730">
        <v>8840</v>
      </c>
      <c r="F383" s="730">
        <f>11030-1360</f>
        <v>9670</v>
      </c>
      <c r="G383" s="730">
        <v>4460</v>
      </c>
      <c r="H383" s="730"/>
      <c r="I383" s="731">
        <f t="shared" si="17"/>
        <v>32660</v>
      </c>
      <c r="J383" s="48"/>
      <c r="K383" s="9"/>
    </row>
    <row r="384" spans="1:11" ht="15">
      <c r="A384" s="728" t="s">
        <v>733</v>
      </c>
      <c r="B384" s="729" t="s">
        <v>735</v>
      </c>
      <c r="C384" s="730">
        <v>1270</v>
      </c>
      <c r="D384" s="730">
        <v>420</v>
      </c>
      <c r="E384" s="730">
        <v>4650</v>
      </c>
      <c r="F384" s="730">
        <f>5450-500</f>
        <v>4950</v>
      </c>
      <c r="G384" s="730">
        <v>770</v>
      </c>
      <c r="H384" s="730"/>
      <c r="I384" s="731">
        <f t="shared" si="17"/>
        <v>12060</v>
      </c>
      <c r="J384" s="48"/>
      <c r="K384" s="9"/>
    </row>
    <row r="385" spans="1:11" ht="15">
      <c r="A385" s="728" t="s">
        <v>734</v>
      </c>
      <c r="B385" s="729" t="s">
        <v>736</v>
      </c>
      <c r="C385" s="730">
        <v>0</v>
      </c>
      <c r="D385" s="730">
        <v>0</v>
      </c>
      <c r="E385" s="730">
        <v>0</v>
      </c>
      <c r="F385" s="730">
        <v>0</v>
      </c>
      <c r="G385" s="730"/>
      <c r="H385" s="730"/>
      <c r="I385" s="731">
        <f t="shared" si="17"/>
        <v>0</v>
      </c>
      <c r="J385" s="48"/>
      <c r="K385" s="9"/>
    </row>
    <row r="386" spans="1:10" ht="15">
      <c r="A386" s="732"/>
      <c r="B386" s="725" t="s">
        <v>638</v>
      </c>
      <c r="C386" s="731">
        <f aca="true" t="shared" si="18" ref="C386:I386">SUM(C372:C385)</f>
        <v>142280</v>
      </c>
      <c r="D386" s="731">
        <f t="shared" si="18"/>
        <v>80420</v>
      </c>
      <c r="E386" s="731">
        <f t="shared" si="18"/>
        <v>456680</v>
      </c>
      <c r="F386" s="731">
        <f t="shared" si="18"/>
        <v>996700</v>
      </c>
      <c r="G386" s="731">
        <f t="shared" si="18"/>
        <v>81270</v>
      </c>
      <c r="H386" s="731">
        <f t="shared" si="18"/>
        <v>0</v>
      </c>
      <c r="I386" s="731">
        <f t="shared" si="18"/>
        <v>1757350</v>
      </c>
      <c r="J386" s="9"/>
    </row>
    <row r="387" ht="12.75">
      <c r="J387" s="48"/>
    </row>
    <row r="388" spans="1:8" ht="12.75">
      <c r="A388" s="48" t="str">
        <f>+A345</f>
        <v> </v>
      </c>
      <c r="G388" s="33" t="s">
        <v>363</v>
      </c>
      <c r="H388" s="33"/>
    </row>
    <row r="389" spans="1:8" ht="12.75">
      <c r="A389" s="778" t="str">
        <f>+A346</f>
        <v>PRESUPUESTO 2008</v>
      </c>
      <c r="B389" s="778"/>
      <c r="C389" s="778"/>
      <c r="D389" s="778"/>
      <c r="E389" s="778"/>
      <c r="F389" s="778"/>
      <c r="G389" s="778"/>
      <c r="H389" s="14"/>
    </row>
    <row r="390" spans="1:3" ht="12.75">
      <c r="A390" s="33" t="str">
        <f>+A347</f>
        <v>Juris.:</v>
      </c>
      <c r="B390" s="762" t="s">
        <v>1047</v>
      </c>
      <c r="C390" s="762"/>
    </row>
    <row r="391" spans="1:2" ht="12.75">
      <c r="A391" s="33" t="s">
        <v>1012</v>
      </c>
      <c r="B391" s="14"/>
    </row>
    <row r="392" ht="12.75">
      <c r="J392" s="48"/>
    </row>
    <row r="393" spans="1:10" ht="12.75">
      <c r="A393" s="157" t="s">
        <v>621</v>
      </c>
      <c r="B393" s="160" t="s">
        <v>1001</v>
      </c>
      <c r="C393" s="157" t="s">
        <v>1014</v>
      </c>
      <c r="D393" s="157" t="s">
        <v>1048</v>
      </c>
      <c r="E393" s="157" t="s">
        <v>158</v>
      </c>
      <c r="F393" s="157" t="s">
        <v>1049</v>
      </c>
      <c r="G393" s="157" t="s">
        <v>1060</v>
      </c>
      <c r="H393" s="157" t="s">
        <v>558</v>
      </c>
      <c r="I393" s="157" t="s">
        <v>638</v>
      </c>
      <c r="J393" s="48"/>
    </row>
    <row r="394" spans="1:11" ht="12.75">
      <c r="A394" s="157"/>
      <c r="B394" s="276"/>
      <c r="C394" s="157" t="s">
        <v>1050</v>
      </c>
      <c r="D394" s="157" t="s">
        <v>1051</v>
      </c>
      <c r="E394" s="157" t="s">
        <v>1052</v>
      </c>
      <c r="F394" s="157" t="s">
        <v>1053</v>
      </c>
      <c r="G394" s="157" t="s">
        <v>1059</v>
      </c>
      <c r="H394" s="157" t="s">
        <v>555</v>
      </c>
      <c r="I394" s="157"/>
      <c r="J394" s="48"/>
      <c r="K394" s="564"/>
    </row>
    <row r="395" spans="1:11" ht="12.75">
      <c r="A395" s="277" t="s">
        <v>1000</v>
      </c>
      <c r="J395" s="48"/>
      <c r="K395" s="48"/>
    </row>
    <row r="396" spans="1:11" ht="12.75">
      <c r="A396" s="193">
        <v>1</v>
      </c>
      <c r="B396" s="200" t="s">
        <v>834</v>
      </c>
      <c r="C396" s="258"/>
      <c r="D396" s="258"/>
      <c r="E396" s="258"/>
      <c r="F396" s="258"/>
      <c r="G396" s="258"/>
      <c r="H396" s="258"/>
      <c r="I396" s="158">
        <f>SUM(C396:H396)</f>
        <v>0</v>
      </c>
      <c r="J396" s="48"/>
      <c r="K396" s="9"/>
    </row>
    <row r="397" spans="1:11" ht="12.75">
      <c r="A397" s="193">
        <v>2</v>
      </c>
      <c r="B397" s="200" t="s">
        <v>835</v>
      </c>
      <c r="C397" s="258"/>
      <c r="D397" s="258"/>
      <c r="E397" s="258"/>
      <c r="F397" s="258"/>
      <c r="G397" s="258"/>
      <c r="H397" s="258"/>
      <c r="I397" s="158">
        <f aca="true" t="shared" si="19" ref="I397:I414">SUM(C397:H397)</f>
        <v>0</v>
      </c>
      <c r="J397" s="48"/>
      <c r="K397" s="9"/>
    </row>
    <row r="398" spans="1:12" ht="12.75">
      <c r="A398" s="193">
        <v>3</v>
      </c>
      <c r="B398" s="200" t="s">
        <v>836</v>
      </c>
      <c r="C398" s="258">
        <f>674000-61920</f>
        <v>612080</v>
      </c>
      <c r="D398" s="258"/>
      <c r="E398" s="258"/>
      <c r="F398" s="258"/>
      <c r="G398" s="258"/>
      <c r="H398" s="258">
        <f>100000-61920</f>
        <v>38080</v>
      </c>
      <c r="I398" s="158">
        <f t="shared" si="19"/>
        <v>650160</v>
      </c>
      <c r="J398" s="48"/>
      <c r="K398" s="9"/>
      <c r="L398" s="9"/>
    </row>
    <row r="399" spans="1:11" ht="12.75">
      <c r="A399" s="193">
        <v>4</v>
      </c>
      <c r="B399" s="200" t="s">
        <v>837</v>
      </c>
      <c r="C399" s="258">
        <f>106270-17320</f>
        <v>88950</v>
      </c>
      <c r="D399" s="258"/>
      <c r="E399" s="258">
        <v>2000</v>
      </c>
      <c r="F399" s="258"/>
      <c r="G399" s="258"/>
      <c r="H399" s="258"/>
      <c r="I399" s="158">
        <f t="shared" si="19"/>
        <v>90950</v>
      </c>
      <c r="J399" s="48"/>
      <c r="K399" s="9"/>
    </row>
    <row r="400" spans="1:11" ht="12.75">
      <c r="A400" s="193">
        <v>5</v>
      </c>
      <c r="B400" s="200" t="s">
        <v>838</v>
      </c>
      <c r="C400" s="258"/>
      <c r="D400" s="258">
        <f>1000-160</f>
        <v>840</v>
      </c>
      <c r="E400" s="258"/>
      <c r="F400" s="258"/>
      <c r="G400" s="258"/>
      <c r="H400" s="258"/>
      <c r="I400" s="158">
        <f t="shared" si="19"/>
        <v>840</v>
      </c>
      <c r="J400" s="48"/>
      <c r="K400" s="9"/>
    </row>
    <row r="401" spans="1:11" ht="12.75">
      <c r="A401" s="193">
        <v>6</v>
      </c>
      <c r="B401" s="200" t="s">
        <v>839</v>
      </c>
      <c r="C401" s="258"/>
      <c r="D401" s="258"/>
      <c r="E401" s="258"/>
      <c r="F401" s="258"/>
      <c r="G401" s="258"/>
      <c r="H401" s="258"/>
      <c r="I401" s="158">
        <f t="shared" si="19"/>
        <v>0</v>
      </c>
      <c r="J401" s="48"/>
      <c r="K401" s="9"/>
    </row>
    <row r="402" spans="1:11" ht="12.75">
      <c r="A402" s="193">
        <v>7</v>
      </c>
      <c r="B402" s="200" t="s">
        <v>840</v>
      </c>
      <c r="C402" s="258"/>
      <c r="D402" s="258"/>
      <c r="E402" s="258"/>
      <c r="F402" s="258"/>
      <c r="G402" s="258"/>
      <c r="H402" s="258"/>
      <c r="I402" s="158">
        <f t="shared" si="19"/>
        <v>0</v>
      </c>
      <c r="J402" s="48"/>
      <c r="K402" s="9"/>
    </row>
    <row r="403" spans="1:11" ht="12.75">
      <c r="A403" s="193">
        <v>8</v>
      </c>
      <c r="B403" s="200" t="s">
        <v>842</v>
      </c>
      <c r="C403" s="258"/>
      <c r="D403" s="258"/>
      <c r="E403" s="258"/>
      <c r="F403" s="258">
        <f>8120-1290</f>
        <v>6830</v>
      </c>
      <c r="G403" s="258"/>
      <c r="H403" s="258"/>
      <c r="I403" s="158">
        <f t="shared" si="19"/>
        <v>6830</v>
      </c>
      <c r="J403" s="48"/>
      <c r="K403" s="9"/>
    </row>
    <row r="404" spans="1:11" ht="12.75">
      <c r="A404" s="193">
        <v>9</v>
      </c>
      <c r="B404" s="200" t="s">
        <v>843</v>
      </c>
      <c r="C404" s="258"/>
      <c r="D404" s="258"/>
      <c r="E404" s="258">
        <f>1000-160</f>
        <v>840</v>
      </c>
      <c r="F404" s="258"/>
      <c r="G404" s="258"/>
      <c r="H404" s="258"/>
      <c r="I404" s="158">
        <f t="shared" si="19"/>
        <v>840</v>
      </c>
      <c r="J404" s="48"/>
      <c r="K404" s="9"/>
    </row>
    <row r="405" spans="1:11" ht="12.75">
      <c r="A405" s="193">
        <v>10</v>
      </c>
      <c r="B405" s="200" t="s">
        <v>844</v>
      </c>
      <c r="C405" s="258"/>
      <c r="D405" s="258"/>
      <c r="E405" s="258"/>
      <c r="F405" s="258"/>
      <c r="G405" s="258"/>
      <c r="H405" s="258"/>
      <c r="I405" s="158">
        <f t="shared" si="19"/>
        <v>0</v>
      </c>
      <c r="J405" s="48"/>
      <c r="K405" s="9"/>
    </row>
    <row r="406" spans="1:11" ht="12.75">
      <c r="A406" s="193">
        <v>11</v>
      </c>
      <c r="B406" s="200" t="s">
        <v>845</v>
      </c>
      <c r="C406" s="258"/>
      <c r="D406" s="258">
        <v>40000</v>
      </c>
      <c r="E406" s="258">
        <f>125700-26510</f>
        <v>99190</v>
      </c>
      <c r="F406" s="258"/>
      <c r="G406" s="258"/>
      <c r="H406" s="258"/>
      <c r="I406" s="158">
        <f t="shared" si="19"/>
        <v>139190</v>
      </c>
      <c r="J406" s="48"/>
      <c r="K406" s="9"/>
    </row>
    <row r="407" spans="1:11" ht="12.75">
      <c r="A407" s="193">
        <v>12</v>
      </c>
      <c r="B407" s="200" t="s">
        <v>846</v>
      </c>
      <c r="C407" s="258"/>
      <c r="D407" s="308"/>
      <c r="E407" s="258"/>
      <c r="F407" s="258"/>
      <c r="G407" s="258">
        <v>2000</v>
      </c>
      <c r="H407" s="258">
        <f>1685000-269920-538000</f>
        <v>877080</v>
      </c>
      <c r="I407" s="158">
        <f t="shared" si="19"/>
        <v>879080</v>
      </c>
      <c r="J407" s="48"/>
      <c r="K407" s="9"/>
    </row>
    <row r="408" spans="1:11" ht="12.75">
      <c r="A408" s="193">
        <v>13</v>
      </c>
      <c r="B408" s="200" t="s">
        <v>847</v>
      </c>
      <c r="C408" s="258"/>
      <c r="D408" s="258">
        <f>18500-2960</f>
        <v>15540</v>
      </c>
      <c r="E408" s="258"/>
      <c r="F408" s="258"/>
      <c r="G408" s="258"/>
      <c r="H408" s="258"/>
      <c r="I408" s="158">
        <f t="shared" si="19"/>
        <v>15540</v>
      </c>
      <c r="J408" s="48"/>
      <c r="K408" s="9"/>
    </row>
    <row r="409" spans="1:11" ht="12.75">
      <c r="A409" s="193">
        <v>14</v>
      </c>
      <c r="B409" s="200" t="s">
        <v>848</v>
      </c>
      <c r="C409" s="258"/>
      <c r="D409" s="258"/>
      <c r="E409" s="258"/>
      <c r="F409" s="258"/>
      <c r="G409" s="258"/>
      <c r="H409" s="258"/>
      <c r="I409" s="158">
        <f t="shared" si="19"/>
        <v>0</v>
      </c>
      <c r="J409" s="48"/>
      <c r="K409" s="9"/>
    </row>
    <row r="410" spans="1:11" ht="12.75">
      <c r="A410" s="193">
        <v>15</v>
      </c>
      <c r="B410" s="200" t="s">
        <v>849</v>
      </c>
      <c r="C410" s="258"/>
      <c r="D410" s="258">
        <v>3000</v>
      </c>
      <c r="E410" s="258">
        <v>400</v>
      </c>
      <c r="F410" s="258">
        <f>20110-3760</f>
        <v>16350</v>
      </c>
      <c r="G410" s="258"/>
      <c r="H410" s="258"/>
      <c r="I410" s="158">
        <f t="shared" si="19"/>
        <v>19750</v>
      </c>
      <c r="J410" s="48"/>
      <c r="K410" s="9"/>
    </row>
    <row r="411" spans="1:11" ht="12.75">
      <c r="A411" s="193">
        <v>16</v>
      </c>
      <c r="B411" s="200" t="s">
        <v>850</v>
      </c>
      <c r="C411" s="258"/>
      <c r="D411" s="258"/>
      <c r="E411" s="258"/>
      <c r="F411" s="258"/>
      <c r="G411" s="258"/>
      <c r="H411" s="258"/>
      <c r="I411" s="158">
        <f t="shared" si="19"/>
        <v>0</v>
      </c>
      <c r="J411" s="48"/>
      <c r="K411" s="9"/>
    </row>
    <row r="412" spans="1:11" ht="12.75">
      <c r="A412" s="193">
        <v>17</v>
      </c>
      <c r="B412" s="200" t="s">
        <v>851</v>
      </c>
      <c r="C412" s="258"/>
      <c r="D412" s="258"/>
      <c r="E412" s="258"/>
      <c r="F412" s="258"/>
      <c r="G412" s="258"/>
      <c r="H412" s="258"/>
      <c r="I412" s="158">
        <f t="shared" si="19"/>
        <v>0</v>
      </c>
      <c r="J412" s="48"/>
      <c r="K412" s="9"/>
    </row>
    <row r="413" spans="1:11" ht="12.75">
      <c r="A413" s="193">
        <v>18</v>
      </c>
      <c r="B413" s="200" t="s">
        <v>852</v>
      </c>
      <c r="C413" s="258"/>
      <c r="D413" s="258"/>
      <c r="E413" s="258"/>
      <c r="F413" s="258"/>
      <c r="G413" s="258"/>
      <c r="H413" s="258"/>
      <c r="I413" s="158">
        <f t="shared" si="19"/>
        <v>0</v>
      </c>
      <c r="J413" s="48"/>
      <c r="K413" s="9"/>
    </row>
    <row r="414" spans="1:11" ht="12.75">
      <c r="A414" s="193">
        <v>19</v>
      </c>
      <c r="B414" s="200" t="s">
        <v>853</v>
      </c>
      <c r="C414" s="258"/>
      <c r="D414" s="258"/>
      <c r="E414" s="258"/>
      <c r="F414" s="258"/>
      <c r="G414" s="258"/>
      <c r="H414" s="258"/>
      <c r="I414" s="158">
        <f t="shared" si="19"/>
        <v>0</v>
      </c>
      <c r="J414" s="48"/>
      <c r="K414" s="9"/>
    </row>
    <row r="415" spans="1:10" ht="12.75">
      <c r="A415" s="159"/>
      <c r="B415" s="160" t="s">
        <v>638</v>
      </c>
      <c r="C415" s="158">
        <f aca="true" t="shared" si="20" ref="C415:I415">SUM(C396:C414)</f>
        <v>701030</v>
      </c>
      <c r="D415" s="158">
        <f t="shared" si="20"/>
        <v>59380</v>
      </c>
      <c r="E415" s="158">
        <f t="shared" si="20"/>
        <v>102430</v>
      </c>
      <c r="F415" s="158">
        <f t="shared" si="20"/>
        <v>23180</v>
      </c>
      <c r="G415" s="158">
        <f t="shared" si="20"/>
        <v>2000</v>
      </c>
      <c r="H415" s="158">
        <f t="shared" si="20"/>
        <v>915160</v>
      </c>
      <c r="I415" s="158">
        <f t="shared" si="20"/>
        <v>1803180</v>
      </c>
      <c r="J415" s="48"/>
    </row>
    <row r="416" spans="10:11" ht="12.75">
      <c r="J416" s="48"/>
      <c r="K416" s="48"/>
    </row>
    <row r="417" spans="1:10" ht="12.75">
      <c r="A417" s="157" t="s">
        <v>621</v>
      </c>
      <c r="B417" s="160" t="s">
        <v>990</v>
      </c>
      <c r="C417" s="157" t="s">
        <v>1014</v>
      </c>
      <c r="D417" s="157" t="s">
        <v>1048</v>
      </c>
      <c r="E417" s="157" t="s">
        <v>158</v>
      </c>
      <c r="F417" s="157" t="s">
        <v>1049</v>
      </c>
      <c r="G417" s="157" t="s">
        <v>1060</v>
      </c>
      <c r="H417" s="157" t="s">
        <v>558</v>
      </c>
      <c r="I417" s="157" t="s">
        <v>638</v>
      </c>
      <c r="J417" s="48"/>
    </row>
    <row r="418" spans="1:10" ht="12.75">
      <c r="A418" s="157"/>
      <c r="B418" s="276"/>
      <c r="C418" s="157" t="s">
        <v>1050</v>
      </c>
      <c r="D418" s="157" t="s">
        <v>1051</v>
      </c>
      <c r="E418" s="157" t="s">
        <v>1052</v>
      </c>
      <c r="F418" s="157" t="s">
        <v>1053</v>
      </c>
      <c r="G418" s="157" t="s">
        <v>1059</v>
      </c>
      <c r="H418" s="157" t="s">
        <v>555</v>
      </c>
      <c r="I418" s="157"/>
      <c r="J418" s="48"/>
    </row>
    <row r="419" spans="1:10" ht="12.75">
      <c r="A419" s="277" t="s">
        <v>1002</v>
      </c>
      <c r="J419" s="48"/>
    </row>
    <row r="420" spans="1:10" ht="12.75">
      <c r="A420" s="193">
        <v>1</v>
      </c>
      <c r="B420" s="200" t="s">
        <v>854</v>
      </c>
      <c r="C420" s="258"/>
      <c r="D420" s="258"/>
      <c r="E420" s="258"/>
      <c r="F420" s="258"/>
      <c r="G420" s="258"/>
      <c r="H420" s="258"/>
      <c r="I420" s="158">
        <f>SUM(C420:H420)</f>
        <v>0</v>
      </c>
      <c r="J420" s="48"/>
    </row>
    <row r="421" spans="1:10" ht="12.75">
      <c r="A421" s="193">
        <v>2</v>
      </c>
      <c r="B421" s="200" t="s">
        <v>855</v>
      </c>
      <c r="C421" s="258"/>
      <c r="D421" s="258"/>
      <c r="E421" s="258"/>
      <c r="F421" s="258"/>
      <c r="G421" s="258"/>
      <c r="H421" s="258"/>
      <c r="I421" s="158">
        <f aca="true" t="shared" si="21" ref="I421:I441">SUM(C421:H421)</f>
        <v>0</v>
      </c>
      <c r="J421" s="48"/>
    </row>
    <row r="422" spans="1:10" ht="12.75">
      <c r="A422" s="193">
        <v>3</v>
      </c>
      <c r="B422" s="200" t="s">
        <v>856</v>
      </c>
      <c r="C422" s="258"/>
      <c r="D422" s="258"/>
      <c r="E422" s="258"/>
      <c r="F422" s="258"/>
      <c r="G422" s="258"/>
      <c r="H422" s="258"/>
      <c r="I422" s="158">
        <f t="shared" si="21"/>
        <v>0</v>
      </c>
      <c r="J422" s="48"/>
    </row>
    <row r="423" spans="1:10" ht="12.75">
      <c r="A423" s="193">
        <v>4</v>
      </c>
      <c r="B423" s="200" t="s">
        <v>857</v>
      </c>
      <c r="C423" s="258"/>
      <c r="D423" s="258"/>
      <c r="E423" s="258"/>
      <c r="F423" s="258"/>
      <c r="G423" s="258"/>
      <c r="H423" s="258"/>
      <c r="I423" s="158">
        <f t="shared" si="21"/>
        <v>0</v>
      </c>
      <c r="J423" s="48"/>
    </row>
    <row r="424" spans="1:10" ht="12.75">
      <c r="A424" s="193">
        <v>5</v>
      </c>
      <c r="B424" s="200" t="s">
        <v>858</v>
      </c>
      <c r="C424" s="258"/>
      <c r="D424" s="258"/>
      <c r="E424" s="258"/>
      <c r="F424" s="258"/>
      <c r="G424" s="258"/>
      <c r="H424" s="258"/>
      <c r="I424" s="158">
        <f t="shared" si="21"/>
        <v>0</v>
      </c>
      <c r="J424" s="48"/>
    </row>
    <row r="425" spans="1:10" ht="12.75">
      <c r="A425" s="193">
        <v>6</v>
      </c>
      <c r="B425" s="200" t="s">
        <v>859</v>
      </c>
      <c r="C425" s="258"/>
      <c r="D425" s="258"/>
      <c r="E425" s="258"/>
      <c r="F425" s="258"/>
      <c r="G425" s="258"/>
      <c r="H425" s="258"/>
      <c r="I425" s="158">
        <f t="shared" si="21"/>
        <v>0</v>
      </c>
      <c r="J425" s="48"/>
    </row>
    <row r="426" spans="1:11" ht="12.75">
      <c r="A426" s="193">
        <v>7</v>
      </c>
      <c r="B426" s="200" t="s">
        <v>860</v>
      </c>
      <c r="C426" s="258">
        <v>12500</v>
      </c>
      <c r="D426" s="258">
        <v>45000</v>
      </c>
      <c r="E426" s="258"/>
      <c r="F426" s="258">
        <f>979410-169270</f>
        <v>810140</v>
      </c>
      <c r="G426" s="258">
        <v>21080</v>
      </c>
      <c r="H426" s="258"/>
      <c r="I426" s="158">
        <f t="shared" si="21"/>
        <v>888720</v>
      </c>
      <c r="J426" s="48"/>
      <c r="K426" s="9"/>
    </row>
    <row r="427" spans="1:10" ht="12.75">
      <c r="A427" s="193">
        <v>8</v>
      </c>
      <c r="B427" s="200" t="s">
        <v>861</v>
      </c>
      <c r="C427" s="258"/>
      <c r="D427" s="258"/>
      <c r="E427" s="258"/>
      <c r="F427" s="258"/>
      <c r="G427" s="258"/>
      <c r="H427" s="258"/>
      <c r="I427" s="158">
        <f t="shared" si="21"/>
        <v>0</v>
      </c>
      <c r="J427" s="48"/>
    </row>
    <row r="428" spans="1:10" ht="12.75">
      <c r="A428" s="193">
        <v>9</v>
      </c>
      <c r="B428" s="200" t="s">
        <v>862</v>
      </c>
      <c r="C428" s="258"/>
      <c r="D428" s="258"/>
      <c r="E428" s="258"/>
      <c r="F428" s="258"/>
      <c r="G428" s="258"/>
      <c r="H428" s="258"/>
      <c r="I428" s="158">
        <f t="shared" si="21"/>
        <v>0</v>
      </c>
      <c r="J428" s="48"/>
    </row>
    <row r="429" spans="1:10" ht="12.75">
      <c r="A429" s="193">
        <v>10</v>
      </c>
      <c r="B429" s="200" t="s">
        <v>863</v>
      </c>
      <c r="C429" s="258"/>
      <c r="D429" s="258"/>
      <c r="E429" s="258"/>
      <c r="F429" s="258"/>
      <c r="G429" s="258"/>
      <c r="H429" s="258"/>
      <c r="I429" s="158">
        <f t="shared" si="21"/>
        <v>0</v>
      </c>
      <c r="J429" s="48"/>
    </row>
    <row r="430" spans="1:10" ht="12.75">
      <c r="A430" s="193">
        <v>11</v>
      </c>
      <c r="B430" s="200" t="s">
        <v>864</v>
      </c>
      <c r="C430" s="258"/>
      <c r="D430" s="258"/>
      <c r="E430" s="258"/>
      <c r="F430" s="258"/>
      <c r="G430" s="258"/>
      <c r="H430" s="258"/>
      <c r="I430" s="158">
        <f t="shared" si="21"/>
        <v>0</v>
      </c>
      <c r="J430" s="48"/>
    </row>
    <row r="431" spans="1:10" ht="12.75">
      <c r="A431" s="193">
        <v>12</v>
      </c>
      <c r="B431" s="200" t="s">
        <v>865</v>
      </c>
      <c r="C431" s="258"/>
      <c r="D431" s="258"/>
      <c r="E431" s="258"/>
      <c r="F431" s="258"/>
      <c r="G431" s="258"/>
      <c r="H431" s="258"/>
      <c r="I431" s="158">
        <f t="shared" si="21"/>
        <v>0</v>
      </c>
      <c r="J431" s="48"/>
    </row>
    <row r="432" spans="1:10" ht="12.75">
      <c r="A432" s="193">
        <v>13</v>
      </c>
      <c r="B432" s="200" t="s">
        <v>866</v>
      </c>
      <c r="C432" s="258"/>
      <c r="D432" s="258"/>
      <c r="E432" s="258"/>
      <c r="F432" s="258"/>
      <c r="G432" s="258"/>
      <c r="H432" s="258"/>
      <c r="I432" s="158">
        <f t="shared" si="21"/>
        <v>0</v>
      </c>
      <c r="J432" s="48"/>
    </row>
    <row r="433" spans="1:10" ht="12.75">
      <c r="A433" s="193">
        <v>14</v>
      </c>
      <c r="B433" s="200" t="s">
        <v>867</v>
      </c>
      <c r="C433" s="258"/>
      <c r="D433" s="258"/>
      <c r="E433" s="258"/>
      <c r="F433" s="258"/>
      <c r="G433" s="258"/>
      <c r="H433" s="258"/>
      <c r="I433" s="158">
        <f t="shared" si="21"/>
        <v>0</v>
      </c>
      <c r="J433" s="48"/>
    </row>
    <row r="434" spans="1:10" ht="12.75">
      <c r="A434" s="193">
        <v>15</v>
      </c>
      <c r="B434" s="200" t="s">
        <v>868</v>
      </c>
      <c r="C434" s="258"/>
      <c r="D434" s="258"/>
      <c r="E434" s="258"/>
      <c r="F434" s="258"/>
      <c r="G434" s="258"/>
      <c r="H434" s="258"/>
      <c r="I434" s="158">
        <f t="shared" si="21"/>
        <v>0</v>
      </c>
      <c r="J434" s="48"/>
    </row>
    <row r="435" spans="1:10" ht="12.75">
      <c r="A435" s="193">
        <v>16</v>
      </c>
      <c r="B435" s="200" t="s">
        <v>869</v>
      </c>
      <c r="C435" s="258"/>
      <c r="D435" s="258"/>
      <c r="E435" s="258"/>
      <c r="F435" s="258"/>
      <c r="G435" s="258"/>
      <c r="H435" s="258"/>
      <c r="I435" s="158">
        <f t="shared" si="21"/>
        <v>0</v>
      </c>
      <c r="J435" s="48"/>
    </row>
    <row r="436" spans="1:10" ht="12.75">
      <c r="A436" s="193">
        <v>17</v>
      </c>
      <c r="B436" s="200" t="s">
        <v>870</v>
      </c>
      <c r="C436" s="258"/>
      <c r="D436" s="258"/>
      <c r="E436" s="258"/>
      <c r="F436" s="258"/>
      <c r="G436" s="258"/>
      <c r="H436" s="258"/>
      <c r="I436" s="158">
        <f t="shared" si="21"/>
        <v>0</v>
      </c>
      <c r="J436" s="48"/>
    </row>
    <row r="437" spans="1:11" ht="12.75">
      <c r="A437" s="193">
        <v>18</v>
      </c>
      <c r="B437" s="200" t="s">
        <v>871</v>
      </c>
      <c r="C437" s="258"/>
      <c r="D437" s="258"/>
      <c r="E437" s="258"/>
      <c r="F437" s="258">
        <f>800000-128000-120000</f>
        <v>552000</v>
      </c>
      <c r="G437" s="258"/>
      <c r="H437" s="258"/>
      <c r="I437" s="158">
        <f t="shared" si="21"/>
        <v>552000</v>
      </c>
      <c r="J437" s="48"/>
      <c r="K437" s="9"/>
    </row>
    <row r="438" spans="1:10" ht="12.75">
      <c r="A438" s="193">
        <v>19</v>
      </c>
      <c r="B438" s="200" t="s">
        <v>872</v>
      </c>
      <c r="C438" s="258"/>
      <c r="D438" s="258"/>
      <c r="E438" s="258"/>
      <c r="F438" s="258"/>
      <c r="G438" s="258"/>
      <c r="H438" s="258"/>
      <c r="I438" s="158">
        <f t="shared" si="21"/>
        <v>0</v>
      </c>
      <c r="J438" s="48"/>
    </row>
    <row r="439" spans="1:10" ht="12.75">
      <c r="A439" s="193">
        <v>20</v>
      </c>
      <c r="B439" s="200" t="s">
        <v>873</v>
      </c>
      <c r="C439" s="258"/>
      <c r="D439" s="258"/>
      <c r="E439" s="258"/>
      <c r="F439" s="258"/>
      <c r="G439" s="258"/>
      <c r="H439" s="258"/>
      <c r="I439" s="158">
        <f t="shared" si="21"/>
        <v>0</v>
      </c>
      <c r="J439" s="48"/>
    </row>
    <row r="440" spans="1:10" ht="12.75">
      <c r="A440" s="193">
        <v>21</v>
      </c>
      <c r="B440" s="200" t="s">
        <v>874</v>
      </c>
      <c r="C440" s="258"/>
      <c r="D440" s="258"/>
      <c r="E440" s="258"/>
      <c r="F440" s="258"/>
      <c r="G440" s="258"/>
      <c r="H440" s="258"/>
      <c r="I440" s="158">
        <f t="shared" si="21"/>
        <v>0</v>
      </c>
      <c r="J440" s="48"/>
    </row>
    <row r="441" spans="1:11" ht="12.75">
      <c r="A441" s="193" t="s">
        <v>106</v>
      </c>
      <c r="B441" s="200" t="s">
        <v>117</v>
      </c>
      <c r="C441" s="258"/>
      <c r="D441" s="258"/>
      <c r="E441" s="258">
        <f>40000-14080</f>
        <v>25920</v>
      </c>
      <c r="F441" s="258">
        <v>18000</v>
      </c>
      <c r="G441" s="258">
        <v>30000</v>
      </c>
      <c r="H441" s="258"/>
      <c r="I441" s="158">
        <f t="shared" si="21"/>
        <v>73920</v>
      </c>
      <c r="J441" s="48"/>
      <c r="K441" s="9"/>
    </row>
    <row r="442" spans="1:10" ht="12.75">
      <c r="A442" s="159"/>
      <c r="B442" s="160" t="s">
        <v>638</v>
      </c>
      <c r="C442" s="158">
        <f aca="true" t="shared" si="22" ref="C442:I442">SUM(C420:C441)</f>
        <v>12500</v>
      </c>
      <c r="D442" s="158">
        <f t="shared" si="22"/>
        <v>45000</v>
      </c>
      <c r="E442" s="158">
        <f t="shared" si="22"/>
        <v>25920</v>
      </c>
      <c r="F442" s="158">
        <f t="shared" si="22"/>
        <v>1380140</v>
      </c>
      <c r="G442" s="158">
        <f t="shared" si="22"/>
        <v>51080</v>
      </c>
      <c r="H442" s="158">
        <f t="shared" si="22"/>
        <v>0</v>
      </c>
      <c r="I442" s="158">
        <f t="shared" si="22"/>
        <v>1514640</v>
      </c>
      <c r="J442" s="48"/>
    </row>
    <row r="443" ht="12.75">
      <c r="J443" s="48"/>
    </row>
    <row r="444" spans="1:10" ht="12.75">
      <c r="A444" s="157" t="s">
        <v>621</v>
      </c>
      <c r="B444" s="160" t="s">
        <v>1016</v>
      </c>
      <c r="C444" s="157" t="s">
        <v>1014</v>
      </c>
      <c r="D444" s="157" t="s">
        <v>1048</v>
      </c>
      <c r="E444" s="157" t="s">
        <v>158</v>
      </c>
      <c r="F444" s="157" t="s">
        <v>1049</v>
      </c>
      <c r="G444" s="157" t="s">
        <v>1060</v>
      </c>
      <c r="H444" s="157" t="s">
        <v>558</v>
      </c>
      <c r="I444" s="157" t="s">
        <v>638</v>
      </c>
      <c r="J444" s="48"/>
    </row>
    <row r="445" spans="1:10" ht="12.75">
      <c r="A445" s="157"/>
      <c r="B445" s="276"/>
      <c r="C445" s="157" t="s">
        <v>1050</v>
      </c>
      <c r="D445" s="157" t="s">
        <v>1051</v>
      </c>
      <c r="E445" s="157" t="s">
        <v>1052</v>
      </c>
      <c r="F445" s="157" t="s">
        <v>1053</v>
      </c>
      <c r="G445" s="157" t="s">
        <v>1059</v>
      </c>
      <c r="H445" s="157" t="s">
        <v>555</v>
      </c>
      <c r="I445" s="157"/>
      <c r="J445" s="48"/>
    </row>
    <row r="446" spans="1:10" ht="12.75">
      <c r="A446" s="277" t="s">
        <v>1003</v>
      </c>
      <c r="J446" s="48"/>
    </row>
    <row r="447" spans="1:11" ht="12.75">
      <c r="A447" s="193">
        <v>1</v>
      </c>
      <c r="B447" s="200" t="s">
        <v>875</v>
      </c>
      <c r="C447" s="258"/>
      <c r="D447" s="258">
        <v>39270</v>
      </c>
      <c r="E447" s="258"/>
      <c r="F447" s="258">
        <f>56720-15670</f>
        <v>41050</v>
      </c>
      <c r="G447" s="258">
        <v>2000</v>
      </c>
      <c r="H447" s="258"/>
      <c r="I447" s="158">
        <f>SUM(C447:H447)</f>
        <v>82320</v>
      </c>
      <c r="J447" s="48"/>
      <c r="K447" s="9"/>
    </row>
    <row r="448" spans="1:11" ht="12.75">
      <c r="A448" s="193">
        <v>2</v>
      </c>
      <c r="B448" s="200" t="s">
        <v>876</v>
      </c>
      <c r="C448" s="258">
        <v>360</v>
      </c>
      <c r="D448" s="258">
        <f>33680-10820</f>
        <v>22860</v>
      </c>
      <c r="E448" s="258">
        <v>3390</v>
      </c>
      <c r="F448" s="258">
        <v>10240</v>
      </c>
      <c r="G448" s="258"/>
      <c r="H448" s="258">
        <v>20000</v>
      </c>
      <c r="I448" s="158">
        <f aca="true" t="shared" si="23" ref="I448:I456">SUM(C448:H448)</f>
        <v>56850</v>
      </c>
      <c r="J448" s="48"/>
      <c r="K448" s="9"/>
    </row>
    <row r="449" spans="1:11" ht="12.75">
      <c r="A449" s="193">
        <v>3</v>
      </c>
      <c r="B449" s="200" t="s">
        <v>877</v>
      </c>
      <c r="C449" s="258"/>
      <c r="D449" s="258"/>
      <c r="E449" s="258"/>
      <c r="F449" s="258"/>
      <c r="G449" s="258">
        <f>1260000-201600-225000</f>
        <v>833400</v>
      </c>
      <c r="H449" s="258"/>
      <c r="I449" s="158">
        <f t="shared" si="23"/>
        <v>833400</v>
      </c>
      <c r="J449" s="48"/>
      <c r="K449" s="9"/>
    </row>
    <row r="450" spans="1:11" ht="12.75">
      <c r="A450" s="193">
        <v>4</v>
      </c>
      <c r="B450" s="200" t="s">
        <v>878</v>
      </c>
      <c r="C450" s="258"/>
      <c r="D450" s="258"/>
      <c r="E450" s="258"/>
      <c r="F450" s="258"/>
      <c r="G450" s="258"/>
      <c r="H450" s="258"/>
      <c r="I450" s="158">
        <f t="shared" si="23"/>
        <v>0</v>
      </c>
      <c r="J450" s="48"/>
      <c r="K450" s="9"/>
    </row>
    <row r="451" spans="1:11" ht="12.75">
      <c r="A451" s="193">
        <v>5</v>
      </c>
      <c r="B451" s="200" t="s">
        <v>879</v>
      </c>
      <c r="C451" s="258"/>
      <c r="D451" s="258"/>
      <c r="E451" s="258"/>
      <c r="F451" s="258"/>
      <c r="G451" s="258"/>
      <c r="H451" s="258"/>
      <c r="I451" s="158">
        <f t="shared" si="23"/>
        <v>0</v>
      </c>
      <c r="J451" s="48"/>
      <c r="K451" s="9"/>
    </row>
    <row r="452" spans="1:11" ht="12.75">
      <c r="A452" s="193">
        <v>6</v>
      </c>
      <c r="B452" s="200" t="s">
        <v>880</v>
      </c>
      <c r="C452" s="258"/>
      <c r="D452" s="258"/>
      <c r="E452" s="258"/>
      <c r="F452" s="258"/>
      <c r="G452" s="258"/>
      <c r="H452" s="258"/>
      <c r="I452" s="158">
        <f t="shared" si="23"/>
        <v>0</v>
      </c>
      <c r="J452" s="48"/>
      <c r="K452" s="9"/>
    </row>
    <row r="453" spans="1:11" ht="12.75">
      <c r="A453" s="193">
        <v>7</v>
      </c>
      <c r="B453" s="200" t="s">
        <v>893</v>
      </c>
      <c r="C453" s="258"/>
      <c r="D453" s="258"/>
      <c r="E453" s="258"/>
      <c r="F453" s="258"/>
      <c r="G453" s="258"/>
      <c r="H453" s="258"/>
      <c r="I453" s="158">
        <f t="shared" si="23"/>
        <v>0</v>
      </c>
      <c r="J453" s="48"/>
      <c r="K453" s="9"/>
    </row>
    <row r="454" spans="1:11" ht="12.75">
      <c r="A454" s="193">
        <v>8</v>
      </c>
      <c r="B454" s="200" t="s">
        <v>894</v>
      </c>
      <c r="C454" s="258">
        <f>800-270</f>
        <v>530</v>
      </c>
      <c r="D454" s="258"/>
      <c r="E454" s="258"/>
      <c r="F454" s="258"/>
      <c r="G454" s="258">
        <v>640</v>
      </c>
      <c r="H454" s="258">
        <v>300</v>
      </c>
      <c r="I454" s="158">
        <f t="shared" si="23"/>
        <v>1470</v>
      </c>
      <c r="J454" s="48"/>
      <c r="K454" s="9"/>
    </row>
    <row r="455" spans="1:11" ht="12.75">
      <c r="A455" s="193">
        <v>9</v>
      </c>
      <c r="B455" s="200" t="s">
        <v>897</v>
      </c>
      <c r="C455" s="258"/>
      <c r="D455" s="258"/>
      <c r="E455" s="258"/>
      <c r="F455" s="258"/>
      <c r="G455" s="258"/>
      <c r="H455" s="258"/>
      <c r="I455" s="158">
        <f t="shared" si="23"/>
        <v>0</v>
      </c>
      <c r="J455" s="48"/>
      <c r="K455" s="9"/>
    </row>
    <row r="456" spans="1:11" ht="12.75">
      <c r="A456" s="193">
        <v>10</v>
      </c>
      <c r="B456" s="200" t="s">
        <v>895</v>
      </c>
      <c r="C456" s="258"/>
      <c r="D456" s="258"/>
      <c r="E456" s="258"/>
      <c r="F456" s="258"/>
      <c r="G456" s="258">
        <v>240</v>
      </c>
      <c r="H456" s="258"/>
      <c r="I456" s="158">
        <f t="shared" si="23"/>
        <v>240</v>
      </c>
      <c r="J456" s="48"/>
      <c r="K456" s="9"/>
    </row>
    <row r="457" spans="1:11" ht="12.75">
      <c r="A457" s="193" t="s">
        <v>911</v>
      </c>
      <c r="B457" s="200" t="s">
        <v>738</v>
      </c>
      <c r="C457" s="258"/>
      <c r="D457" s="258"/>
      <c r="E457" s="258"/>
      <c r="F457" s="258"/>
      <c r="G457" s="258"/>
      <c r="H457" s="258"/>
      <c r="I457" s="158">
        <f>SUM(C457:G457)</f>
        <v>0</v>
      </c>
      <c r="J457" s="48"/>
      <c r="K457" s="9"/>
    </row>
    <row r="458" spans="1:10" ht="12.75">
      <c r="A458" s="159"/>
      <c r="B458" s="160" t="s">
        <v>638</v>
      </c>
      <c r="C458" s="158">
        <f aca="true" t="shared" si="24" ref="C458:I458">SUM(C447:C457)</f>
        <v>890</v>
      </c>
      <c r="D458" s="158">
        <f t="shared" si="24"/>
        <v>62130</v>
      </c>
      <c r="E458" s="158">
        <f t="shared" si="24"/>
        <v>3390</v>
      </c>
      <c r="F458" s="158">
        <f t="shared" si="24"/>
        <v>51290</v>
      </c>
      <c r="G458" s="158">
        <f t="shared" si="24"/>
        <v>836280</v>
      </c>
      <c r="H458" s="158">
        <f t="shared" si="24"/>
        <v>20300</v>
      </c>
      <c r="I458" s="158">
        <f t="shared" si="24"/>
        <v>974280</v>
      </c>
      <c r="J458" s="48"/>
    </row>
    <row r="459" ht="12.75">
      <c r="J459" s="48"/>
    </row>
    <row r="460" spans="1:4" ht="12.75">
      <c r="A460" s="87" t="str">
        <f>+A388</f>
        <v> </v>
      </c>
      <c r="B460" s="84"/>
      <c r="C460" s="107" t="s">
        <v>363</v>
      </c>
      <c r="D460" s="84"/>
    </row>
    <row r="461" spans="1:9" s="85" customFormat="1" ht="12.75">
      <c r="A461" s="778" t="str">
        <f>+A389</f>
        <v>PRESUPUESTO 2008</v>
      </c>
      <c r="B461" s="778"/>
      <c r="C461" s="778"/>
      <c r="D461" s="778"/>
      <c r="E461" s="83"/>
      <c r="F461" s="83"/>
      <c r="G461" s="83"/>
      <c r="H461" s="84"/>
      <c r="I461" s="84"/>
    </row>
    <row r="462" spans="1:4" ht="12.75">
      <c r="A462" s="91" t="str">
        <f>+A390</f>
        <v>Juris.:</v>
      </c>
      <c r="B462" s="778" t="s">
        <v>103</v>
      </c>
      <c r="C462" s="778"/>
      <c r="D462" s="84"/>
    </row>
    <row r="463" spans="1:2" ht="12.75">
      <c r="A463" s="33" t="s">
        <v>1012</v>
      </c>
      <c r="B463" s="14"/>
    </row>
    <row r="465" spans="1:9" ht="12.75">
      <c r="A465" s="157" t="s">
        <v>621</v>
      </c>
      <c r="B465" s="160" t="s">
        <v>996</v>
      </c>
      <c r="C465" s="157" t="s">
        <v>1014</v>
      </c>
      <c r="D465" s="157" t="s">
        <v>638</v>
      </c>
      <c r="G465"/>
      <c r="H465"/>
      <c r="I465"/>
    </row>
    <row r="466" spans="1:9" ht="12.75">
      <c r="A466" s="157"/>
      <c r="B466" s="276"/>
      <c r="C466" s="157" t="s">
        <v>1054</v>
      </c>
      <c r="D466" s="157"/>
      <c r="F466" s="564"/>
      <c r="G466"/>
      <c r="H466"/>
      <c r="I466"/>
    </row>
    <row r="467" spans="1:9" ht="12.75">
      <c r="A467" s="277" t="s">
        <v>995</v>
      </c>
      <c r="G467"/>
      <c r="H467"/>
      <c r="I467"/>
    </row>
    <row r="468" spans="1:9" ht="12.75">
      <c r="A468" s="197" t="s">
        <v>666</v>
      </c>
      <c r="B468" s="200" t="s">
        <v>667</v>
      </c>
      <c r="C468" s="258">
        <f>598920-23950</f>
        <v>574970</v>
      </c>
      <c r="D468" s="158">
        <f aca="true" t="shared" si="25" ref="D468:D481">SUM(C468:C468)</f>
        <v>574970</v>
      </c>
      <c r="F468" s="9"/>
      <c r="G468"/>
      <c r="H468"/>
      <c r="I468"/>
    </row>
    <row r="469" spans="1:9" ht="12.75">
      <c r="A469" s="197" t="s">
        <v>668</v>
      </c>
      <c r="B469" s="200" t="s">
        <v>669</v>
      </c>
      <c r="C469" s="258">
        <f>291530-11660</f>
        <v>279870</v>
      </c>
      <c r="D469" s="158">
        <f t="shared" si="25"/>
        <v>279870</v>
      </c>
      <c r="F469" s="9"/>
      <c r="G469"/>
      <c r="H469"/>
      <c r="I469"/>
    </row>
    <row r="470" spans="1:9" ht="12.75">
      <c r="A470" s="197" t="s">
        <v>670</v>
      </c>
      <c r="B470" s="200" t="s">
        <v>726</v>
      </c>
      <c r="C470" s="258">
        <v>0</v>
      </c>
      <c r="D470" s="158">
        <f t="shared" si="25"/>
        <v>0</v>
      </c>
      <c r="F470" s="9"/>
      <c r="G470"/>
      <c r="H470"/>
      <c r="I470"/>
    </row>
    <row r="471" spans="1:9" ht="12.75">
      <c r="A471" s="197" t="s">
        <v>672</v>
      </c>
      <c r="B471" s="200" t="s">
        <v>671</v>
      </c>
      <c r="C471" s="258">
        <f>31030-1240</f>
        <v>29790</v>
      </c>
      <c r="D471" s="158">
        <f t="shared" si="25"/>
        <v>29790</v>
      </c>
      <c r="F471" s="9"/>
      <c r="G471"/>
      <c r="H471"/>
      <c r="I471"/>
    </row>
    <row r="472" spans="1:9" ht="12.75">
      <c r="A472" s="197" t="s">
        <v>673</v>
      </c>
      <c r="B472" s="200" t="s">
        <v>674</v>
      </c>
      <c r="C472" s="258">
        <f>347090-13880</f>
        <v>333210</v>
      </c>
      <c r="D472" s="158">
        <f t="shared" si="25"/>
        <v>333210</v>
      </c>
      <c r="F472" s="9"/>
      <c r="G472"/>
      <c r="H472"/>
      <c r="I472"/>
    </row>
    <row r="473" spans="1:9" ht="12.75">
      <c r="A473" s="197" t="s">
        <v>675</v>
      </c>
      <c r="B473" s="200" t="s">
        <v>727</v>
      </c>
      <c r="C473" s="258">
        <f>440-10</f>
        <v>430</v>
      </c>
      <c r="D473" s="158">
        <f t="shared" si="25"/>
        <v>430</v>
      </c>
      <c r="F473" s="9"/>
      <c r="G473"/>
      <c r="H473"/>
      <c r="I473"/>
    </row>
    <row r="474" spans="1:9" ht="12.75">
      <c r="A474" s="197" t="s">
        <v>677</v>
      </c>
      <c r="B474" s="200" t="s">
        <v>676</v>
      </c>
      <c r="C474" s="258">
        <f>109000-4360</f>
        <v>104640</v>
      </c>
      <c r="D474" s="158">
        <f t="shared" si="25"/>
        <v>104640</v>
      </c>
      <c r="F474" s="9"/>
      <c r="G474"/>
      <c r="H474"/>
      <c r="I474"/>
    </row>
    <row r="475" spans="1:9" ht="12.75">
      <c r="A475" s="197" t="s">
        <v>679</v>
      </c>
      <c r="B475" s="200" t="s">
        <v>678</v>
      </c>
      <c r="C475" s="258">
        <f>102670-4100</f>
        <v>98570</v>
      </c>
      <c r="D475" s="158">
        <f t="shared" si="25"/>
        <v>98570</v>
      </c>
      <c r="F475" s="9"/>
      <c r="G475"/>
      <c r="H475"/>
      <c r="I475"/>
    </row>
    <row r="476" spans="1:9" ht="12.75">
      <c r="A476" s="197" t="s">
        <v>680</v>
      </c>
      <c r="B476" s="200" t="s">
        <v>728</v>
      </c>
      <c r="C476" s="258">
        <f>90340-3610</f>
        <v>86730</v>
      </c>
      <c r="D476" s="158">
        <f t="shared" si="25"/>
        <v>86730</v>
      </c>
      <c r="F476" s="9"/>
      <c r="G476"/>
      <c r="H476"/>
      <c r="I476"/>
    </row>
    <row r="477" spans="1:9" ht="12.75">
      <c r="A477" s="197" t="s">
        <v>681</v>
      </c>
      <c r="B477" s="200" t="s">
        <v>730</v>
      </c>
      <c r="C477" s="258">
        <f>128110-5120</f>
        <v>122990</v>
      </c>
      <c r="D477" s="158">
        <f t="shared" si="25"/>
        <v>122990</v>
      </c>
      <c r="F477" s="9"/>
      <c r="G477"/>
      <c r="H477"/>
      <c r="I477"/>
    </row>
    <row r="478" spans="1:9" ht="12.75">
      <c r="A478" s="197" t="s">
        <v>725</v>
      </c>
      <c r="B478" s="200" t="s">
        <v>731</v>
      </c>
      <c r="C478" s="258">
        <f>154240-6170</f>
        <v>148070</v>
      </c>
      <c r="D478" s="158">
        <f t="shared" si="25"/>
        <v>148070</v>
      </c>
      <c r="F478" s="9"/>
      <c r="G478"/>
      <c r="H478"/>
      <c r="I478"/>
    </row>
    <row r="479" spans="1:9" ht="12.75">
      <c r="A479" s="197" t="s">
        <v>729</v>
      </c>
      <c r="B479" s="200" t="s">
        <v>732</v>
      </c>
      <c r="C479" s="258">
        <f>98370-3930</f>
        <v>94440</v>
      </c>
      <c r="D479" s="158">
        <f t="shared" si="25"/>
        <v>94440</v>
      </c>
      <c r="F479" s="9"/>
      <c r="G479"/>
      <c r="H479"/>
      <c r="I479"/>
    </row>
    <row r="480" spans="1:9" ht="12.75">
      <c r="A480" s="197" t="s">
        <v>733</v>
      </c>
      <c r="B480" s="200" t="s">
        <v>735</v>
      </c>
      <c r="C480" s="258">
        <f>16460-650</f>
        <v>15810</v>
      </c>
      <c r="D480" s="158">
        <f t="shared" si="25"/>
        <v>15810</v>
      </c>
      <c r="F480" s="9"/>
      <c r="G480"/>
      <c r="H480"/>
      <c r="I480"/>
    </row>
    <row r="481" spans="1:9" ht="12.75">
      <c r="A481" s="197" t="s">
        <v>734</v>
      </c>
      <c r="B481" s="200" t="s">
        <v>736</v>
      </c>
      <c r="C481" s="258"/>
      <c r="D481" s="158">
        <f t="shared" si="25"/>
        <v>0</v>
      </c>
      <c r="F481" s="9"/>
      <c r="G481"/>
      <c r="H481"/>
      <c r="I481"/>
    </row>
    <row r="482" spans="1:9" ht="12.75">
      <c r="A482" s="159"/>
      <c r="B482" s="160" t="s">
        <v>638</v>
      </c>
      <c r="C482" s="158">
        <f>SUM(C468:C481)</f>
        <v>1889520</v>
      </c>
      <c r="D482" s="158">
        <f>SUM(D468:D481)</f>
        <v>1889520</v>
      </c>
      <c r="G482"/>
      <c r="H482"/>
      <c r="I482"/>
    </row>
    <row r="483" spans="7:9" ht="12.75">
      <c r="G483"/>
      <c r="H483"/>
      <c r="I483"/>
    </row>
    <row r="484" spans="1:9" ht="12.75">
      <c r="A484" s="157" t="s">
        <v>621</v>
      </c>
      <c r="B484" s="160" t="s">
        <v>998</v>
      </c>
      <c r="C484" s="157" t="s">
        <v>1014</v>
      </c>
      <c r="D484" s="157" t="s">
        <v>638</v>
      </c>
      <c r="G484"/>
      <c r="H484"/>
      <c r="I484"/>
    </row>
    <row r="485" spans="1:9" ht="12.75">
      <c r="A485" s="157"/>
      <c r="B485" s="276"/>
      <c r="C485" s="157" t="s">
        <v>1054</v>
      </c>
      <c r="D485" s="157"/>
      <c r="G485"/>
      <c r="H485"/>
      <c r="I485"/>
    </row>
    <row r="486" spans="1:9" ht="12.75">
      <c r="A486" s="277" t="s">
        <v>999</v>
      </c>
      <c r="G486"/>
      <c r="H486"/>
      <c r="I486"/>
    </row>
    <row r="487" spans="1:9" ht="12.75">
      <c r="A487" s="197" t="s">
        <v>666</v>
      </c>
      <c r="B487" s="200" t="s">
        <v>667</v>
      </c>
      <c r="C487" s="258">
        <f>16550-660</f>
        <v>15890</v>
      </c>
      <c r="D487" s="158">
        <f aca="true" t="shared" si="26" ref="D487:D500">SUM(C487:C487)</f>
        <v>15890</v>
      </c>
      <c r="F487" s="9"/>
      <c r="G487"/>
      <c r="H487"/>
      <c r="I487"/>
    </row>
    <row r="488" spans="1:9" ht="12.75">
      <c r="A488" s="197" t="s">
        <v>668</v>
      </c>
      <c r="B488" s="200" t="s">
        <v>669</v>
      </c>
      <c r="C488" s="258">
        <f>350-10</f>
        <v>340</v>
      </c>
      <c r="D488" s="158">
        <f t="shared" si="26"/>
        <v>340</v>
      </c>
      <c r="F488" s="9"/>
      <c r="G488"/>
      <c r="H488"/>
      <c r="I488"/>
    </row>
    <row r="489" spans="1:9" ht="12.75">
      <c r="A489" s="197" t="s">
        <v>670</v>
      </c>
      <c r="B489" s="200" t="s">
        <v>726</v>
      </c>
      <c r="C489" s="258">
        <v>0</v>
      </c>
      <c r="D489" s="158">
        <f t="shared" si="26"/>
        <v>0</v>
      </c>
      <c r="F489" s="9"/>
      <c r="G489"/>
      <c r="H489"/>
      <c r="I489"/>
    </row>
    <row r="490" spans="1:9" ht="12.75">
      <c r="A490" s="197" t="s">
        <v>672</v>
      </c>
      <c r="B490" s="200" t="s">
        <v>671</v>
      </c>
      <c r="C490" s="258">
        <v>0</v>
      </c>
      <c r="D490" s="158">
        <f t="shared" si="26"/>
        <v>0</v>
      </c>
      <c r="F490" s="9"/>
      <c r="G490"/>
      <c r="H490"/>
      <c r="I490"/>
    </row>
    <row r="491" spans="1:9" ht="12.75">
      <c r="A491" s="197" t="s">
        <v>673</v>
      </c>
      <c r="B491" s="200" t="s">
        <v>674</v>
      </c>
      <c r="C491" s="258">
        <f>24620-980</f>
        <v>23640</v>
      </c>
      <c r="D491" s="158">
        <f t="shared" si="26"/>
        <v>23640</v>
      </c>
      <c r="F491" s="9"/>
      <c r="G491"/>
      <c r="H491"/>
      <c r="I491"/>
    </row>
    <row r="492" spans="1:9" ht="12.75">
      <c r="A492" s="197" t="s">
        <v>675</v>
      </c>
      <c r="B492" s="200" t="s">
        <v>727</v>
      </c>
      <c r="C492" s="258">
        <v>0</v>
      </c>
      <c r="D492" s="158">
        <f t="shared" si="26"/>
        <v>0</v>
      </c>
      <c r="F492" s="9"/>
      <c r="G492"/>
      <c r="H492"/>
      <c r="I492"/>
    </row>
    <row r="493" spans="1:9" ht="12.75">
      <c r="A493" s="197" t="s">
        <v>677</v>
      </c>
      <c r="B493" s="200" t="s">
        <v>676</v>
      </c>
      <c r="C493" s="258">
        <f>3590-140</f>
        <v>3450</v>
      </c>
      <c r="D493" s="158">
        <f t="shared" si="26"/>
        <v>3450</v>
      </c>
      <c r="F493" s="9"/>
      <c r="G493"/>
      <c r="H493"/>
      <c r="I493"/>
    </row>
    <row r="494" spans="1:9" ht="12.75">
      <c r="A494" s="197" t="s">
        <v>679</v>
      </c>
      <c r="B494" s="200" t="s">
        <v>678</v>
      </c>
      <c r="C494" s="258">
        <v>0</v>
      </c>
      <c r="D494" s="158">
        <f t="shared" si="26"/>
        <v>0</v>
      </c>
      <c r="F494" s="9"/>
      <c r="G494"/>
      <c r="H494"/>
      <c r="I494"/>
    </row>
    <row r="495" spans="1:9" ht="12.75">
      <c r="A495" s="197" t="s">
        <v>680</v>
      </c>
      <c r="B495" s="200" t="s">
        <v>728</v>
      </c>
      <c r="C495" s="258">
        <v>0</v>
      </c>
      <c r="D495" s="158">
        <f t="shared" si="26"/>
        <v>0</v>
      </c>
      <c r="F495" s="9"/>
      <c r="G495"/>
      <c r="H495"/>
      <c r="I495"/>
    </row>
    <row r="496" spans="1:9" ht="12.75">
      <c r="A496" s="197" t="s">
        <v>681</v>
      </c>
      <c r="B496" s="200" t="s">
        <v>730</v>
      </c>
      <c r="C496" s="258">
        <f>7310-290</f>
        <v>7020</v>
      </c>
      <c r="D496" s="158">
        <f t="shared" si="26"/>
        <v>7020</v>
      </c>
      <c r="F496" s="9"/>
      <c r="G496"/>
      <c r="H496"/>
      <c r="I496"/>
    </row>
    <row r="497" spans="1:9" ht="12.75">
      <c r="A497" s="197" t="s">
        <v>725</v>
      </c>
      <c r="B497" s="200" t="s">
        <v>731</v>
      </c>
      <c r="C497" s="258">
        <f>6450-250</f>
        <v>6200</v>
      </c>
      <c r="D497" s="158">
        <f t="shared" si="26"/>
        <v>6200</v>
      </c>
      <c r="F497" s="9"/>
      <c r="G497"/>
      <c r="H497"/>
      <c r="I497"/>
    </row>
    <row r="498" spans="1:9" ht="12.75">
      <c r="A498" s="197" t="s">
        <v>729</v>
      </c>
      <c r="B498" s="200" t="s">
        <v>732</v>
      </c>
      <c r="C498" s="258">
        <f>4390-170</f>
        <v>4220</v>
      </c>
      <c r="D498" s="158">
        <f t="shared" si="26"/>
        <v>4220</v>
      </c>
      <c r="F498" s="9"/>
      <c r="G498"/>
      <c r="H498"/>
      <c r="I498"/>
    </row>
    <row r="499" spans="1:9" ht="12.75">
      <c r="A499" s="197" t="s">
        <v>733</v>
      </c>
      <c r="B499" s="200" t="s">
        <v>735</v>
      </c>
      <c r="C499" s="258">
        <f>770-30</f>
        <v>740</v>
      </c>
      <c r="D499" s="158">
        <f t="shared" si="26"/>
        <v>740</v>
      </c>
      <c r="F499" s="9"/>
      <c r="G499"/>
      <c r="H499"/>
      <c r="I499"/>
    </row>
    <row r="500" spans="1:9" ht="12.75">
      <c r="A500" s="197" t="s">
        <v>734</v>
      </c>
      <c r="B500" s="200" t="s">
        <v>736</v>
      </c>
      <c r="C500" s="258"/>
      <c r="D500" s="158">
        <f t="shared" si="26"/>
        <v>0</v>
      </c>
      <c r="F500" s="9"/>
      <c r="G500"/>
      <c r="H500"/>
      <c r="I500"/>
    </row>
    <row r="501" spans="1:9" ht="12.75">
      <c r="A501" s="159"/>
      <c r="B501" s="160" t="s">
        <v>638</v>
      </c>
      <c r="C501" s="158">
        <f>SUM(C487:C500)</f>
        <v>61500</v>
      </c>
      <c r="D501" s="158">
        <f>SUM(D487:D500)</f>
        <v>61500</v>
      </c>
      <c r="E501" s="9"/>
      <c r="G501"/>
      <c r="H501"/>
      <c r="I501"/>
    </row>
    <row r="502" spans="1:4" ht="15.75">
      <c r="A502" s="544"/>
      <c r="B502" s="544"/>
      <c r="C502" s="69" t="s">
        <v>363</v>
      </c>
      <c r="D502" s="544"/>
    </row>
    <row r="503" spans="1:4" ht="15">
      <c r="A503" s="544" t="str">
        <f>+A460</f>
        <v> </v>
      </c>
      <c r="B503" s="544"/>
      <c r="C503" s="544"/>
      <c r="D503" s="544"/>
    </row>
    <row r="504" spans="1:7" ht="15.75">
      <c r="A504" s="784" t="str">
        <f>+A461</f>
        <v>PRESUPUESTO 2008</v>
      </c>
      <c r="B504" s="784"/>
      <c r="C504" s="784"/>
      <c r="D504" s="784"/>
      <c r="E504" s="14"/>
      <c r="F504" s="14"/>
      <c r="G504" s="14"/>
    </row>
    <row r="505" spans="1:4" ht="15.75">
      <c r="A505" s="69" t="str">
        <f>+A462</f>
        <v>Juris.:</v>
      </c>
      <c r="B505" s="787" t="s">
        <v>103</v>
      </c>
      <c r="C505" s="787"/>
      <c r="D505" s="544"/>
    </row>
    <row r="506" spans="1:4" ht="15.75">
      <c r="A506" s="69" t="s">
        <v>1012</v>
      </c>
      <c r="B506" s="76"/>
      <c r="C506" s="544"/>
      <c r="D506" s="544"/>
    </row>
    <row r="507" spans="1:4" ht="15">
      <c r="A507" s="544"/>
      <c r="B507" s="544"/>
      <c r="C507" s="544"/>
      <c r="D507" s="544"/>
    </row>
    <row r="508" spans="1:9" ht="15.75">
      <c r="A508" s="657" t="s">
        <v>621</v>
      </c>
      <c r="B508" s="739" t="s">
        <v>1001</v>
      </c>
      <c r="C508" s="657" t="s">
        <v>1014</v>
      </c>
      <c r="D508" s="657" t="s">
        <v>638</v>
      </c>
      <c r="G508"/>
      <c r="H508"/>
      <c r="I508"/>
    </row>
    <row r="509" spans="1:9" ht="15.75">
      <c r="A509" s="657"/>
      <c r="B509" s="740"/>
      <c r="C509" s="657" t="s">
        <v>1054</v>
      </c>
      <c r="D509" s="657"/>
      <c r="F509" s="564"/>
      <c r="G509"/>
      <c r="H509"/>
      <c r="I509"/>
    </row>
    <row r="510" spans="1:9" ht="15.75">
      <c r="A510" s="71" t="s">
        <v>1000</v>
      </c>
      <c r="B510" s="544"/>
      <c r="C510" s="544"/>
      <c r="D510" s="544"/>
      <c r="G510"/>
      <c r="H510"/>
      <c r="I510"/>
    </row>
    <row r="511" spans="1:9" ht="15.75">
      <c r="A511" s="706">
        <v>1</v>
      </c>
      <c r="B511" s="743" t="s">
        <v>834</v>
      </c>
      <c r="C511" s="744"/>
      <c r="D511" s="741">
        <f aca="true" t="shared" si="27" ref="D511:D529">SUM(C511:C511)</f>
        <v>0</v>
      </c>
      <c r="F511" s="9"/>
      <c r="G511"/>
      <c r="H511"/>
      <c r="I511"/>
    </row>
    <row r="512" spans="1:9" ht="15.75">
      <c r="A512" s="706">
        <v>2</v>
      </c>
      <c r="B512" s="743" t="s">
        <v>835</v>
      </c>
      <c r="C512" s="744"/>
      <c r="D512" s="741">
        <f t="shared" si="27"/>
        <v>0</v>
      </c>
      <c r="F512" s="9"/>
      <c r="G512"/>
      <c r="H512"/>
      <c r="I512"/>
    </row>
    <row r="513" spans="1:9" ht="15.75">
      <c r="A513" s="706">
        <v>3</v>
      </c>
      <c r="B513" s="743" t="s">
        <v>836</v>
      </c>
      <c r="C513" s="744"/>
      <c r="D513" s="741">
        <f t="shared" si="27"/>
        <v>0</v>
      </c>
      <c r="F513" s="9"/>
      <c r="G513"/>
      <c r="H513"/>
      <c r="I513"/>
    </row>
    <row r="514" spans="1:9" ht="15.75">
      <c r="A514" s="706">
        <v>4</v>
      </c>
      <c r="B514" s="743" t="s">
        <v>837</v>
      </c>
      <c r="C514" s="744">
        <f>4500-720</f>
        <v>3780</v>
      </c>
      <c r="D514" s="741">
        <f t="shared" si="27"/>
        <v>3780</v>
      </c>
      <c r="F514" s="9"/>
      <c r="G514"/>
      <c r="H514"/>
      <c r="I514"/>
    </row>
    <row r="515" spans="1:9" ht="15.75">
      <c r="A515" s="706">
        <v>5</v>
      </c>
      <c r="B515" s="743" t="s">
        <v>838</v>
      </c>
      <c r="C515" s="744">
        <f>8000-1280-2000</f>
        <v>4720</v>
      </c>
      <c r="D515" s="741">
        <f t="shared" si="27"/>
        <v>4720</v>
      </c>
      <c r="F515" s="9"/>
      <c r="G515"/>
      <c r="H515"/>
      <c r="I515"/>
    </row>
    <row r="516" spans="1:9" ht="15.75">
      <c r="A516" s="706">
        <v>6</v>
      </c>
      <c r="B516" s="743" t="s">
        <v>839</v>
      </c>
      <c r="C516" s="744"/>
      <c r="D516" s="741">
        <f t="shared" si="27"/>
        <v>0</v>
      </c>
      <c r="F516" s="9"/>
      <c r="G516"/>
      <c r="H516"/>
      <c r="I516"/>
    </row>
    <row r="517" spans="1:9" ht="15.75">
      <c r="A517" s="706">
        <v>7</v>
      </c>
      <c r="B517" s="743" t="s">
        <v>840</v>
      </c>
      <c r="C517" s="744"/>
      <c r="D517" s="741">
        <f t="shared" si="27"/>
        <v>0</v>
      </c>
      <c r="F517" s="9"/>
      <c r="G517"/>
      <c r="H517"/>
      <c r="I517"/>
    </row>
    <row r="518" spans="1:9" ht="15.75">
      <c r="A518" s="706">
        <v>8</v>
      </c>
      <c r="B518" s="743" t="s">
        <v>842</v>
      </c>
      <c r="C518" s="744"/>
      <c r="D518" s="741">
        <f t="shared" si="27"/>
        <v>0</v>
      </c>
      <c r="F518" s="9"/>
      <c r="G518"/>
      <c r="H518"/>
      <c r="I518"/>
    </row>
    <row r="519" spans="1:9" ht="15.75">
      <c r="A519" s="706">
        <v>9</v>
      </c>
      <c r="B519" s="743" t="s">
        <v>843</v>
      </c>
      <c r="C519" s="744"/>
      <c r="D519" s="741">
        <f t="shared" si="27"/>
        <v>0</v>
      </c>
      <c r="F519" s="9"/>
      <c r="G519"/>
      <c r="H519"/>
      <c r="I519"/>
    </row>
    <row r="520" spans="1:9" ht="15.75">
      <c r="A520" s="706">
        <v>10</v>
      </c>
      <c r="B520" s="743" t="s">
        <v>844</v>
      </c>
      <c r="C520" s="744"/>
      <c r="D520" s="741">
        <f t="shared" si="27"/>
        <v>0</v>
      </c>
      <c r="F520" s="9"/>
      <c r="G520"/>
      <c r="H520"/>
      <c r="I520"/>
    </row>
    <row r="521" spans="1:9" ht="15.75">
      <c r="A521" s="706">
        <v>11</v>
      </c>
      <c r="B521" s="743" t="s">
        <v>845</v>
      </c>
      <c r="C521" s="744"/>
      <c r="D521" s="741">
        <f t="shared" si="27"/>
        <v>0</v>
      </c>
      <c r="F521" s="9"/>
      <c r="G521"/>
      <c r="H521"/>
      <c r="I521"/>
    </row>
    <row r="522" spans="1:9" ht="15.75">
      <c r="A522" s="706">
        <v>12</v>
      </c>
      <c r="B522" s="743" t="s">
        <v>846</v>
      </c>
      <c r="C522" s="744"/>
      <c r="D522" s="741">
        <f t="shared" si="27"/>
        <v>0</v>
      </c>
      <c r="F522" s="9"/>
      <c r="G522"/>
      <c r="H522"/>
      <c r="I522"/>
    </row>
    <row r="523" spans="1:9" ht="15.75">
      <c r="A523" s="706">
        <v>13</v>
      </c>
      <c r="B523" s="743" t="s">
        <v>847</v>
      </c>
      <c r="C523" s="744"/>
      <c r="D523" s="741">
        <f t="shared" si="27"/>
        <v>0</v>
      </c>
      <c r="F523" s="9"/>
      <c r="G523"/>
      <c r="H523"/>
      <c r="I523"/>
    </row>
    <row r="524" spans="1:9" ht="15.75">
      <c r="A524" s="706">
        <v>14</v>
      </c>
      <c r="B524" s="743" t="s">
        <v>848</v>
      </c>
      <c r="C524" s="744"/>
      <c r="D524" s="741">
        <f t="shared" si="27"/>
        <v>0</v>
      </c>
      <c r="F524" s="9"/>
      <c r="G524"/>
      <c r="H524"/>
      <c r="I524"/>
    </row>
    <row r="525" spans="1:9" ht="15.75">
      <c r="A525" s="706">
        <v>15</v>
      </c>
      <c r="B525" s="743" t="s">
        <v>849</v>
      </c>
      <c r="C525" s="744"/>
      <c r="D525" s="741">
        <f t="shared" si="27"/>
        <v>0</v>
      </c>
      <c r="F525" s="9"/>
      <c r="G525"/>
      <c r="H525"/>
      <c r="I525"/>
    </row>
    <row r="526" spans="1:9" ht="15.75">
      <c r="A526" s="706">
        <v>16</v>
      </c>
      <c r="B526" s="743" t="s">
        <v>850</v>
      </c>
      <c r="C526" s="744"/>
      <c r="D526" s="741">
        <f t="shared" si="27"/>
        <v>0</v>
      </c>
      <c r="F526" s="9"/>
      <c r="G526"/>
      <c r="H526"/>
      <c r="I526"/>
    </row>
    <row r="527" spans="1:9" ht="15.75">
      <c r="A527" s="706">
        <v>17</v>
      </c>
      <c r="B527" s="743" t="s">
        <v>851</v>
      </c>
      <c r="C527" s="744"/>
      <c r="D527" s="741">
        <f t="shared" si="27"/>
        <v>0</v>
      </c>
      <c r="F527" s="9"/>
      <c r="G527"/>
      <c r="H527"/>
      <c r="I527"/>
    </row>
    <row r="528" spans="1:9" ht="15.75">
      <c r="A528" s="706">
        <v>18</v>
      </c>
      <c r="B528" s="743" t="s">
        <v>852</v>
      </c>
      <c r="C528" s="744"/>
      <c r="D528" s="741">
        <f t="shared" si="27"/>
        <v>0</v>
      </c>
      <c r="F528" s="9"/>
      <c r="G528"/>
      <c r="H528"/>
      <c r="I528"/>
    </row>
    <row r="529" spans="1:9" ht="15.75">
      <c r="A529" s="706">
        <v>19</v>
      </c>
      <c r="B529" s="743" t="s">
        <v>853</v>
      </c>
      <c r="C529" s="744"/>
      <c r="D529" s="741">
        <f t="shared" si="27"/>
        <v>0</v>
      </c>
      <c r="F529" s="9"/>
      <c r="G529"/>
      <c r="H529"/>
      <c r="I529"/>
    </row>
    <row r="530" spans="1:9" ht="15.75">
      <c r="A530" s="742"/>
      <c r="B530" s="739" t="s">
        <v>638</v>
      </c>
      <c r="C530" s="741">
        <f>SUM(C511:C529)</f>
        <v>8500</v>
      </c>
      <c r="D530" s="741">
        <f>SUM(D511:D529)</f>
        <v>8500</v>
      </c>
      <c r="G530"/>
      <c r="H530"/>
      <c r="I530"/>
    </row>
    <row r="531" spans="1:4" ht="15">
      <c r="A531" s="544"/>
      <c r="B531" s="544"/>
      <c r="C531" s="544"/>
      <c r="D531" s="544"/>
    </row>
    <row r="532" spans="1:9" ht="15.75">
      <c r="A532" s="657" t="s">
        <v>621</v>
      </c>
      <c r="B532" s="739" t="s">
        <v>990</v>
      </c>
      <c r="C532" s="657" t="s">
        <v>1014</v>
      </c>
      <c r="D532" s="657" t="s">
        <v>638</v>
      </c>
      <c r="G532"/>
      <c r="H532"/>
      <c r="I532"/>
    </row>
    <row r="533" spans="1:9" ht="15.75">
      <c r="A533" s="657"/>
      <c r="B533" s="740"/>
      <c r="C533" s="657" t="s">
        <v>1054</v>
      </c>
      <c r="D533" s="657"/>
      <c r="G533"/>
      <c r="H533"/>
      <c r="I533"/>
    </row>
    <row r="534" spans="1:9" ht="15.75">
      <c r="A534" s="71" t="s">
        <v>1002</v>
      </c>
      <c r="B534" s="544"/>
      <c r="C534" s="544"/>
      <c r="D534" s="544"/>
      <c r="G534"/>
      <c r="H534"/>
      <c r="I534"/>
    </row>
    <row r="535" spans="1:9" ht="15.75">
      <c r="A535" s="706">
        <v>1</v>
      </c>
      <c r="B535" s="743" t="s">
        <v>854</v>
      </c>
      <c r="C535" s="744"/>
      <c r="D535" s="741">
        <f aca="true" t="shared" si="28" ref="D535:D556">SUM(C535:C535)</f>
        <v>0</v>
      </c>
      <c r="G535"/>
      <c r="H535"/>
      <c r="I535"/>
    </row>
    <row r="536" spans="1:9" ht="15.75">
      <c r="A536" s="706">
        <v>2</v>
      </c>
      <c r="B536" s="743" t="s">
        <v>855</v>
      </c>
      <c r="C536" s="744"/>
      <c r="D536" s="741">
        <f t="shared" si="28"/>
        <v>0</v>
      </c>
      <c r="G536"/>
      <c r="H536"/>
      <c r="I536"/>
    </row>
    <row r="537" spans="1:9" ht="15.75">
      <c r="A537" s="706">
        <v>3</v>
      </c>
      <c r="B537" s="743" t="s">
        <v>856</v>
      </c>
      <c r="C537" s="744"/>
      <c r="D537" s="741">
        <f t="shared" si="28"/>
        <v>0</v>
      </c>
      <c r="G537"/>
      <c r="H537"/>
      <c r="I537"/>
    </row>
    <row r="538" spans="1:9" ht="15.75">
      <c r="A538" s="706">
        <v>4</v>
      </c>
      <c r="B538" s="743" t="s">
        <v>857</v>
      </c>
      <c r="C538" s="744"/>
      <c r="D538" s="741">
        <f t="shared" si="28"/>
        <v>0</v>
      </c>
      <c r="G538"/>
      <c r="H538"/>
      <c r="I538"/>
    </row>
    <row r="539" spans="1:9" ht="15.75">
      <c r="A539" s="706">
        <v>5</v>
      </c>
      <c r="B539" s="743" t="s">
        <v>858</v>
      </c>
      <c r="C539" s="744"/>
      <c r="D539" s="741">
        <f t="shared" si="28"/>
        <v>0</v>
      </c>
      <c r="G539"/>
      <c r="H539"/>
      <c r="I539"/>
    </row>
    <row r="540" spans="1:9" ht="15.75">
      <c r="A540" s="706">
        <v>6</v>
      </c>
      <c r="B540" s="743" t="s">
        <v>859</v>
      </c>
      <c r="C540" s="744"/>
      <c r="D540" s="741">
        <f t="shared" si="28"/>
        <v>0</v>
      </c>
      <c r="G540"/>
      <c r="H540"/>
      <c r="I540"/>
    </row>
    <row r="541" spans="1:9" ht="15.75">
      <c r="A541" s="706">
        <v>7</v>
      </c>
      <c r="B541" s="743" t="s">
        <v>860</v>
      </c>
      <c r="C541" s="744"/>
      <c r="D541" s="741">
        <f t="shared" si="28"/>
        <v>0</v>
      </c>
      <c r="G541"/>
      <c r="H541"/>
      <c r="I541"/>
    </row>
    <row r="542" spans="1:9" ht="15.75">
      <c r="A542" s="706">
        <v>8</v>
      </c>
      <c r="B542" s="743" t="s">
        <v>861</v>
      </c>
      <c r="C542" s="744"/>
      <c r="D542" s="741">
        <f t="shared" si="28"/>
        <v>0</v>
      </c>
      <c r="G542"/>
      <c r="H542"/>
      <c r="I542"/>
    </row>
    <row r="543" spans="1:9" ht="15.75">
      <c r="A543" s="706">
        <v>9</v>
      </c>
      <c r="B543" s="743" t="s">
        <v>862</v>
      </c>
      <c r="C543" s="744"/>
      <c r="D543" s="741">
        <f t="shared" si="28"/>
        <v>0</v>
      </c>
      <c r="G543"/>
      <c r="H543"/>
      <c r="I543"/>
    </row>
    <row r="544" spans="1:9" ht="15.75">
      <c r="A544" s="706">
        <v>10</v>
      </c>
      <c r="B544" s="743" t="s">
        <v>863</v>
      </c>
      <c r="C544" s="744"/>
      <c r="D544" s="741">
        <f t="shared" si="28"/>
        <v>0</v>
      </c>
      <c r="G544"/>
      <c r="H544"/>
      <c r="I544"/>
    </row>
    <row r="545" spans="1:9" ht="15.75">
      <c r="A545" s="706">
        <v>11</v>
      </c>
      <c r="B545" s="743" t="s">
        <v>864</v>
      </c>
      <c r="C545" s="744"/>
      <c r="D545" s="741">
        <f t="shared" si="28"/>
        <v>0</v>
      </c>
      <c r="G545"/>
      <c r="H545"/>
      <c r="I545"/>
    </row>
    <row r="546" spans="1:9" ht="15.75">
      <c r="A546" s="706">
        <v>12</v>
      </c>
      <c r="B546" s="743" t="s">
        <v>865</v>
      </c>
      <c r="C546" s="744"/>
      <c r="D546" s="741">
        <f t="shared" si="28"/>
        <v>0</v>
      </c>
      <c r="G546"/>
      <c r="H546"/>
      <c r="I546"/>
    </row>
    <row r="547" spans="1:9" ht="15.75">
      <c r="A547" s="706">
        <v>13</v>
      </c>
      <c r="B547" s="743" t="s">
        <v>866</v>
      </c>
      <c r="C547" s="744"/>
      <c r="D547" s="741">
        <f t="shared" si="28"/>
        <v>0</v>
      </c>
      <c r="G547"/>
      <c r="H547"/>
      <c r="I547"/>
    </row>
    <row r="548" spans="1:9" ht="15.75">
      <c r="A548" s="706">
        <v>14</v>
      </c>
      <c r="B548" s="743" t="s">
        <v>867</v>
      </c>
      <c r="C548" s="744"/>
      <c r="D548" s="741">
        <f t="shared" si="28"/>
        <v>0</v>
      </c>
      <c r="G548"/>
      <c r="H548"/>
      <c r="I548"/>
    </row>
    <row r="549" spans="1:9" ht="15.75">
      <c r="A549" s="706">
        <v>15</v>
      </c>
      <c r="B549" s="743" t="s">
        <v>868</v>
      </c>
      <c r="C549" s="744"/>
      <c r="D549" s="741">
        <f t="shared" si="28"/>
        <v>0</v>
      </c>
      <c r="G549"/>
      <c r="H549"/>
      <c r="I549"/>
    </row>
    <row r="550" spans="1:9" ht="15.75">
      <c r="A550" s="706">
        <v>16</v>
      </c>
      <c r="B550" s="743" t="s">
        <v>869</v>
      </c>
      <c r="C550" s="744"/>
      <c r="D550" s="741">
        <f t="shared" si="28"/>
        <v>0</v>
      </c>
      <c r="G550"/>
      <c r="H550"/>
      <c r="I550"/>
    </row>
    <row r="551" spans="1:9" ht="15.75">
      <c r="A551" s="706">
        <v>17</v>
      </c>
      <c r="B551" s="743" t="s">
        <v>870</v>
      </c>
      <c r="C551" s="744">
        <f>5000-800-3000</f>
        <v>1200</v>
      </c>
      <c r="D551" s="741">
        <f t="shared" si="28"/>
        <v>1200</v>
      </c>
      <c r="F551" s="9"/>
      <c r="G551"/>
      <c r="H551"/>
      <c r="I551"/>
    </row>
    <row r="552" spans="1:9" ht="15.75">
      <c r="A552" s="706">
        <v>18</v>
      </c>
      <c r="B552" s="743" t="s">
        <v>871</v>
      </c>
      <c r="C552" s="744"/>
      <c r="D552" s="741">
        <f t="shared" si="28"/>
        <v>0</v>
      </c>
      <c r="F552" s="9"/>
      <c r="G552"/>
      <c r="H552"/>
      <c r="I552"/>
    </row>
    <row r="553" spans="1:9" ht="15.75">
      <c r="A553" s="706">
        <v>19</v>
      </c>
      <c r="B553" s="743" t="s">
        <v>872</v>
      </c>
      <c r="C553" s="744"/>
      <c r="D553" s="741">
        <f t="shared" si="28"/>
        <v>0</v>
      </c>
      <c r="F553" s="9"/>
      <c r="G553"/>
      <c r="H553"/>
      <c r="I553"/>
    </row>
    <row r="554" spans="1:9" ht="15.75">
      <c r="A554" s="706">
        <v>20</v>
      </c>
      <c r="B554" s="743" t="s">
        <v>873</v>
      </c>
      <c r="C554" s="744"/>
      <c r="D554" s="741">
        <f t="shared" si="28"/>
        <v>0</v>
      </c>
      <c r="F554" s="9"/>
      <c r="G554"/>
      <c r="H554"/>
      <c r="I554"/>
    </row>
    <row r="555" spans="1:9" ht="15.75">
      <c r="A555" s="706">
        <v>21</v>
      </c>
      <c r="B555" s="743" t="s">
        <v>874</v>
      </c>
      <c r="C555" s="744"/>
      <c r="D555" s="741">
        <f t="shared" si="28"/>
        <v>0</v>
      </c>
      <c r="F555" s="9"/>
      <c r="G555"/>
      <c r="H555"/>
      <c r="I555"/>
    </row>
    <row r="556" spans="1:9" ht="15.75">
      <c r="A556" s="706" t="s">
        <v>106</v>
      </c>
      <c r="B556" s="743" t="s">
        <v>117</v>
      </c>
      <c r="C556" s="744">
        <f>45000-7200</f>
        <v>37800</v>
      </c>
      <c r="D556" s="741">
        <f t="shared" si="28"/>
        <v>37800</v>
      </c>
      <c r="F556" s="9"/>
      <c r="G556"/>
      <c r="H556"/>
      <c r="I556"/>
    </row>
    <row r="557" spans="1:9" ht="15.75">
      <c r="A557" s="742"/>
      <c r="B557" s="739" t="s">
        <v>638</v>
      </c>
      <c r="C557" s="741">
        <f>SUM(C535:C556)</f>
        <v>39000</v>
      </c>
      <c r="D557" s="741">
        <f>SUM(D535:D556)</f>
        <v>39000</v>
      </c>
      <c r="G557"/>
      <c r="H557"/>
      <c r="I557"/>
    </row>
    <row r="558" spans="1:4" ht="15">
      <c r="A558" s="544"/>
      <c r="B558" s="544"/>
      <c r="C558" s="544"/>
      <c r="D558" s="544"/>
    </row>
    <row r="559" spans="1:9" ht="15.75">
      <c r="A559" s="657" t="s">
        <v>621</v>
      </c>
      <c r="B559" s="739" t="s">
        <v>1016</v>
      </c>
      <c r="C559" s="657" t="s">
        <v>1014</v>
      </c>
      <c r="D559" s="657" t="s">
        <v>638</v>
      </c>
      <c r="G559"/>
      <c r="H559"/>
      <c r="I559"/>
    </row>
    <row r="560" spans="1:9" ht="15.75">
      <c r="A560" s="657"/>
      <c r="B560" s="740"/>
      <c r="C560" s="657" t="s">
        <v>1054</v>
      </c>
      <c r="D560" s="657"/>
      <c r="G560"/>
      <c r="H560"/>
      <c r="I560"/>
    </row>
    <row r="561" spans="1:9" ht="15.75">
      <c r="A561" s="71" t="s">
        <v>1003</v>
      </c>
      <c r="B561" s="544"/>
      <c r="C561" s="544"/>
      <c r="D561" s="544"/>
      <c r="G561"/>
      <c r="H561"/>
      <c r="I561"/>
    </row>
    <row r="562" spans="1:9" ht="15.75">
      <c r="A562" s="706">
        <v>1</v>
      </c>
      <c r="B562" s="743" t="s">
        <v>875</v>
      </c>
      <c r="C562" s="744"/>
      <c r="D562" s="741">
        <f aca="true" t="shared" si="29" ref="D562:D572">SUM(C562:C562)</f>
        <v>0</v>
      </c>
      <c r="G562"/>
      <c r="H562"/>
      <c r="I562"/>
    </row>
    <row r="563" spans="1:9" ht="15.75">
      <c r="A563" s="706">
        <v>2</v>
      </c>
      <c r="B563" s="743" t="s">
        <v>876</v>
      </c>
      <c r="C563" s="744"/>
      <c r="D563" s="741">
        <f t="shared" si="29"/>
        <v>0</v>
      </c>
      <c r="G563"/>
      <c r="H563"/>
      <c r="I563"/>
    </row>
    <row r="564" spans="1:9" ht="15.75">
      <c r="A564" s="706">
        <v>3</v>
      </c>
      <c r="B564" s="743" t="s">
        <v>877</v>
      </c>
      <c r="C564" s="744"/>
      <c r="D564" s="741">
        <f t="shared" si="29"/>
        <v>0</v>
      </c>
      <c r="G564"/>
      <c r="H564"/>
      <c r="I564"/>
    </row>
    <row r="565" spans="1:9" ht="15.75">
      <c r="A565" s="706">
        <v>4</v>
      </c>
      <c r="B565" s="743" t="s">
        <v>878</v>
      </c>
      <c r="C565" s="744"/>
      <c r="D565" s="741">
        <f t="shared" si="29"/>
        <v>0</v>
      </c>
      <c r="G565"/>
      <c r="H565"/>
      <c r="I565"/>
    </row>
    <row r="566" spans="1:9" ht="15.75">
      <c r="A566" s="706">
        <v>5</v>
      </c>
      <c r="B566" s="743" t="s">
        <v>879</v>
      </c>
      <c r="C566" s="744"/>
      <c r="D566" s="741">
        <f t="shared" si="29"/>
        <v>0</v>
      </c>
      <c r="G566"/>
      <c r="H566"/>
      <c r="I566"/>
    </row>
    <row r="567" spans="1:9" ht="15.75">
      <c r="A567" s="706">
        <v>6</v>
      </c>
      <c r="B567" s="743" t="s">
        <v>880</v>
      </c>
      <c r="C567" s="744">
        <f>3000-480</f>
        <v>2520</v>
      </c>
      <c r="D567" s="741">
        <f t="shared" si="29"/>
        <v>2520</v>
      </c>
      <c r="F567" s="9"/>
      <c r="G567"/>
      <c r="H567"/>
      <c r="I567"/>
    </row>
    <row r="568" spans="1:9" ht="15.75">
      <c r="A568" s="706">
        <v>7</v>
      </c>
      <c r="B568" s="743" t="s">
        <v>893</v>
      </c>
      <c r="C568" s="744"/>
      <c r="D568" s="741">
        <f t="shared" si="29"/>
        <v>0</v>
      </c>
      <c r="F568" s="9"/>
      <c r="G568"/>
      <c r="H568"/>
      <c r="I568"/>
    </row>
    <row r="569" spans="1:9" ht="15.75">
      <c r="A569" s="706">
        <v>8</v>
      </c>
      <c r="B569" s="743" t="s">
        <v>894</v>
      </c>
      <c r="C569" s="744">
        <f>5000-800-1000</f>
        <v>3200</v>
      </c>
      <c r="D569" s="741">
        <f t="shared" si="29"/>
        <v>3200</v>
      </c>
      <c r="F569" s="9"/>
      <c r="G569"/>
      <c r="H569"/>
      <c r="I569"/>
    </row>
    <row r="570" spans="1:9" ht="15.75">
      <c r="A570" s="706">
        <v>9</v>
      </c>
      <c r="B570" s="743" t="s">
        <v>897</v>
      </c>
      <c r="C570" s="744"/>
      <c r="D570" s="741">
        <f t="shared" si="29"/>
        <v>0</v>
      </c>
      <c r="F570" s="9"/>
      <c r="G570"/>
      <c r="H570"/>
      <c r="I570"/>
    </row>
    <row r="571" spans="1:9" ht="15.75">
      <c r="A571" s="706">
        <v>10</v>
      </c>
      <c r="B571" s="743" t="s">
        <v>895</v>
      </c>
      <c r="C571" s="744"/>
      <c r="D571" s="741">
        <f t="shared" si="29"/>
        <v>0</v>
      </c>
      <c r="F571" s="9"/>
      <c r="G571"/>
      <c r="H571"/>
      <c r="I571"/>
    </row>
    <row r="572" spans="1:9" ht="15.75">
      <c r="A572" s="706" t="s">
        <v>911</v>
      </c>
      <c r="B572" s="743" t="s">
        <v>738</v>
      </c>
      <c r="C572" s="744"/>
      <c r="D572" s="741">
        <f t="shared" si="29"/>
        <v>0</v>
      </c>
      <c r="F572" s="9"/>
      <c r="G572"/>
      <c r="H572"/>
      <c r="I572"/>
    </row>
    <row r="573" spans="1:9" ht="15.75">
      <c r="A573" s="742"/>
      <c r="B573" s="739" t="s">
        <v>638</v>
      </c>
      <c r="C573" s="741">
        <f>SUM(C562:C572)</f>
        <v>5720</v>
      </c>
      <c r="D573" s="741">
        <f>SUM(D562:D572)</f>
        <v>5720</v>
      </c>
      <c r="G573"/>
      <c r="H573"/>
      <c r="I573"/>
    </row>
    <row r="574" spans="1:6" ht="15">
      <c r="A574" s="544"/>
      <c r="B574" s="544"/>
      <c r="C574" s="544"/>
      <c r="D574" s="544"/>
      <c r="E574" s="544"/>
      <c r="F574" s="544"/>
    </row>
    <row r="575" spans="1:6" ht="15.75">
      <c r="A575" s="719" t="str">
        <f>+A503</f>
        <v> </v>
      </c>
      <c r="B575" s="720"/>
      <c r="C575" s="720"/>
      <c r="D575" s="720"/>
      <c r="E575" s="721" t="s">
        <v>363</v>
      </c>
      <c r="F575" s="720"/>
    </row>
    <row r="576" spans="1:6" ht="15.75">
      <c r="A576" s="784" t="s">
        <v>383</v>
      </c>
      <c r="B576" s="784"/>
      <c r="C576" s="784"/>
      <c r="D576" s="784"/>
      <c r="E576" s="784"/>
      <c r="F576" s="784"/>
    </row>
    <row r="577" spans="1:6" ht="15.75">
      <c r="A577" s="754" t="str">
        <f>+A505</f>
        <v>Juris.:</v>
      </c>
      <c r="B577" s="784" t="s">
        <v>1055</v>
      </c>
      <c r="C577" s="784"/>
      <c r="D577" s="720"/>
      <c r="E577" s="720"/>
      <c r="F577" s="720"/>
    </row>
    <row r="578" spans="1:6" ht="15.75">
      <c r="A578" s="69" t="s">
        <v>1012</v>
      </c>
      <c r="B578" s="76"/>
      <c r="C578" s="544"/>
      <c r="D578" s="544"/>
      <c r="E578" s="544"/>
      <c r="F578" s="544"/>
    </row>
    <row r="579" spans="1:6" ht="15">
      <c r="A579" s="544"/>
      <c r="B579" s="544"/>
      <c r="C579" s="544"/>
      <c r="D579" s="544"/>
      <c r="E579" s="544"/>
      <c r="F579" s="544"/>
    </row>
    <row r="580" spans="1:9" ht="15.75">
      <c r="A580" s="657" t="s">
        <v>621</v>
      </c>
      <c r="B580" s="739" t="s">
        <v>996</v>
      </c>
      <c r="C580" s="657" t="s">
        <v>1014</v>
      </c>
      <c r="D580" s="657" t="s">
        <v>1056</v>
      </c>
      <c r="E580" s="657" t="s">
        <v>1058</v>
      </c>
      <c r="F580" s="657" t="s">
        <v>638</v>
      </c>
      <c r="I580"/>
    </row>
    <row r="581" spans="1:9" ht="15.75">
      <c r="A581" s="657"/>
      <c r="B581" s="740"/>
      <c r="C581" s="657" t="s">
        <v>1061</v>
      </c>
      <c r="D581" s="657" t="s">
        <v>1057</v>
      </c>
      <c r="E581" s="657" t="s">
        <v>1062</v>
      </c>
      <c r="F581" s="657"/>
      <c r="H581" s="564"/>
      <c r="I581"/>
    </row>
    <row r="582" spans="1:9" ht="15.75">
      <c r="A582" s="71" t="s">
        <v>995</v>
      </c>
      <c r="B582" s="544"/>
      <c r="C582" s="544"/>
      <c r="D582" s="544"/>
      <c r="E582" s="544"/>
      <c r="F582" s="544"/>
      <c r="I582"/>
    </row>
    <row r="583" spans="1:9" ht="15.75">
      <c r="A583" s="707" t="s">
        <v>666</v>
      </c>
      <c r="B583" s="743" t="s">
        <v>667</v>
      </c>
      <c r="C583" s="744">
        <v>132800</v>
      </c>
      <c r="D583" s="744">
        <v>797330</v>
      </c>
      <c r="E583" s="744">
        <f>1298880-189160</f>
        <v>1109720</v>
      </c>
      <c r="F583" s="741">
        <f aca="true" t="shared" si="30" ref="F583:F596">SUM(C583:E583)</f>
        <v>2039850</v>
      </c>
      <c r="H583" s="9"/>
      <c r="I583"/>
    </row>
    <row r="584" spans="1:9" ht="15.75">
      <c r="A584" s="707" t="s">
        <v>668</v>
      </c>
      <c r="B584" s="743" t="s">
        <v>669</v>
      </c>
      <c r="C584" s="744">
        <v>1410</v>
      </c>
      <c r="D584" s="744">
        <v>287600</v>
      </c>
      <c r="E584" s="744">
        <f>496910-91430</f>
        <v>405480</v>
      </c>
      <c r="F584" s="741">
        <f t="shared" si="30"/>
        <v>694490</v>
      </c>
      <c r="H584" s="9"/>
      <c r="I584"/>
    </row>
    <row r="585" spans="1:9" ht="15.75">
      <c r="A585" s="707" t="s">
        <v>670</v>
      </c>
      <c r="B585" s="743" t="s">
        <v>726</v>
      </c>
      <c r="C585" s="744">
        <v>0</v>
      </c>
      <c r="D585" s="744">
        <v>0</v>
      </c>
      <c r="E585" s="744">
        <v>0</v>
      </c>
      <c r="F585" s="741">
        <f t="shared" si="30"/>
        <v>0</v>
      </c>
      <c r="H585" s="9"/>
      <c r="I585"/>
    </row>
    <row r="586" spans="1:9" ht="15.75">
      <c r="A586" s="707" t="s">
        <v>672</v>
      </c>
      <c r="B586" s="743" t="s">
        <v>671</v>
      </c>
      <c r="C586" s="744">
        <v>0</v>
      </c>
      <c r="D586" s="744">
        <v>0</v>
      </c>
      <c r="E586" s="744">
        <v>0</v>
      </c>
      <c r="F586" s="741">
        <f t="shared" si="30"/>
        <v>0</v>
      </c>
      <c r="H586" s="9"/>
      <c r="I586"/>
    </row>
    <row r="587" spans="1:9" ht="15.75">
      <c r="A587" s="707" t="s">
        <v>673</v>
      </c>
      <c r="B587" s="743" t="s">
        <v>674</v>
      </c>
      <c r="C587" s="744">
        <v>16420</v>
      </c>
      <c r="D587" s="744">
        <f>1058250+13890</f>
        <v>1072140</v>
      </c>
      <c r="E587" s="744">
        <f>1470990-301820+499000</f>
        <v>1668170</v>
      </c>
      <c r="F587" s="741">
        <f t="shared" si="30"/>
        <v>2756730</v>
      </c>
      <c r="H587" s="9"/>
      <c r="I587"/>
    </row>
    <row r="588" spans="1:9" ht="15.75">
      <c r="A588" s="707" t="s">
        <v>675</v>
      </c>
      <c r="B588" s="743" t="s">
        <v>727</v>
      </c>
      <c r="C588" s="744">
        <v>0</v>
      </c>
      <c r="D588" s="744">
        <v>176020</v>
      </c>
      <c r="E588" s="744">
        <f>184540-14420</f>
        <v>170120</v>
      </c>
      <c r="F588" s="741">
        <f t="shared" si="30"/>
        <v>346140</v>
      </c>
      <c r="H588" s="9"/>
      <c r="I588"/>
    </row>
    <row r="589" spans="1:9" ht="15.75">
      <c r="A589" s="707" t="s">
        <v>677</v>
      </c>
      <c r="B589" s="743" t="s">
        <v>676</v>
      </c>
      <c r="C589" s="744">
        <v>11970</v>
      </c>
      <c r="D589" s="744">
        <v>203680</v>
      </c>
      <c r="E589" s="744">
        <f>432240-25910</f>
        <v>406330</v>
      </c>
      <c r="F589" s="741">
        <f t="shared" si="30"/>
        <v>621980</v>
      </c>
      <c r="H589" s="9"/>
      <c r="I589"/>
    </row>
    <row r="590" spans="1:9" ht="15.75">
      <c r="A590" s="707" t="s">
        <v>679</v>
      </c>
      <c r="B590" s="743" t="s">
        <v>678</v>
      </c>
      <c r="C590" s="744">
        <v>2010</v>
      </c>
      <c r="D590" s="744">
        <v>334030</v>
      </c>
      <c r="E590" s="744">
        <f>499850-33430</f>
        <v>466420</v>
      </c>
      <c r="F590" s="741">
        <f t="shared" si="30"/>
        <v>802460</v>
      </c>
      <c r="H590" s="9"/>
      <c r="I590"/>
    </row>
    <row r="591" spans="1:9" ht="15.75">
      <c r="A591" s="707" t="s">
        <v>680</v>
      </c>
      <c r="B591" s="743" t="s">
        <v>728</v>
      </c>
      <c r="C591" s="744">
        <v>0</v>
      </c>
      <c r="D591" s="744">
        <v>0</v>
      </c>
      <c r="E591" s="744">
        <f>7410-290</f>
        <v>7120</v>
      </c>
      <c r="F591" s="741">
        <f t="shared" si="30"/>
        <v>7120</v>
      </c>
      <c r="H591" s="9"/>
      <c r="I591"/>
    </row>
    <row r="592" spans="1:9" ht="15.75">
      <c r="A592" s="707" t="s">
        <v>681</v>
      </c>
      <c r="B592" s="743" t="s">
        <v>730</v>
      </c>
      <c r="C592" s="744">
        <v>6020</v>
      </c>
      <c r="D592" s="744">
        <v>391570</v>
      </c>
      <c r="E592" s="744">
        <f>544110-37660</f>
        <v>506450</v>
      </c>
      <c r="F592" s="741">
        <f t="shared" si="30"/>
        <v>904040</v>
      </c>
      <c r="H592" s="9"/>
      <c r="I592"/>
    </row>
    <row r="593" spans="1:9" ht="15.75">
      <c r="A593" s="707" t="s">
        <v>725</v>
      </c>
      <c r="B593" s="743" t="s">
        <v>731</v>
      </c>
      <c r="C593" s="744">
        <v>10550</v>
      </c>
      <c r="D593" s="744">
        <v>287760</v>
      </c>
      <c r="E593" s="744">
        <f>373490-26870</f>
        <v>346620</v>
      </c>
      <c r="F593" s="741">
        <f t="shared" si="30"/>
        <v>644930</v>
      </c>
      <c r="H593" s="9"/>
      <c r="I593"/>
    </row>
    <row r="594" spans="1:9" ht="15.75">
      <c r="A594" s="707" t="s">
        <v>729</v>
      </c>
      <c r="B594" s="743" t="s">
        <v>732</v>
      </c>
      <c r="C594" s="744">
        <v>7920</v>
      </c>
      <c r="D594" s="744">
        <v>188990</v>
      </c>
      <c r="E594" s="744">
        <f>270290-18680</f>
        <v>251610</v>
      </c>
      <c r="F594" s="741">
        <f t="shared" si="30"/>
        <v>448520</v>
      </c>
      <c r="H594" s="9"/>
      <c r="I594"/>
    </row>
    <row r="595" spans="1:9" ht="15.75">
      <c r="A595" s="707" t="s">
        <v>733</v>
      </c>
      <c r="B595" s="743" t="s">
        <v>735</v>
      </c>
      <c r="C595" s="744">
        <v>1360</v>
      </c>
      <c r="D595" s="744">
        <v>31560</v>
      </c>
      <c r="E595" s="744">
        <f>45190-3120</f>
        <v>42070</v>
      </c>
      <c r="F595" s="741">
        <f t="shared" si="30"/>
        <v>74990</v>
      </c>
      <c r="H595" s="9"/>
      <c r="I595"/>
    </row>
    <row r="596" spans="1:9" ht="15.75">
      <c r="A596" s="707" t="s">
        <v>734</v>
      </c>
      <c r="B596" s="743" t="s">
        <v>736</v>
      </c>
      <c r="C596" s="744">
        <v>0</v>
      </c>
      <c r="D596" s="744">
        <v>0</v>
      </c>
      <c r="E596" s="744">
        <v>0</v>
      </c>
      <c r="F596" s="741">
        <f t="shared" si="30"/>
        <v>0</v>
      </c>
      <c r="H596" s="9"/>
      <c r="I596"/>
    </row>
    <row r="597" spans="1:9" ht="15.75">
      <c r="A597" s="742"/>
      <c r="B597" s="739" t="s">
        <v>638</v>
      </c>
      <c r="C597" s="741">
        <f>SUM(C583:C596)</f>
        <v>190460</v>
      </c>
      <c r="D597" s="741">
        <f>SUM(D583:D596)</f>
        <v>3770680</v>
      </c>
      <c r="E597" s="741">
        <f>SUM(E583:E596)</f>
        <v>5380110</v>
      </c>
      <c r="F597" s="741">
        <f>SUM(F583:F596)</f>
        <v>9341250</v>
      </c>
      <c r="I597"/>
    </row>
    <row r="598" spans="1:9" ht="15">
      <c r="A598" s="544"/>
      <c r="B598" s="544"/>
      <c r="C598" s="544"/>
      <c r="D598" s="544"/>
      <c r="E598" s="544"/>
      <c r="F598" s="544"/>
      <c r="I598"/>
    </row>
    <row r="599" spans="1:9" ht="15.75">
      <c r="A599" s="657" t="s">
        <v>621</v>
      </c>
      <c r="B599" s="739" t="s">
        <v>998</v>
      </c>
      <c r="C599" s="657" t="s">
        <v>1014</v>
      </c>
      <c r="D599" s="657" t="s">
        <v>1056</v>
      </c>
      <c r="E599" s="657" t="s">
        <v>1058</v>
      </c>
      <c r="F599" s="657" t="s">
        <v>638</v>
      </c>
      <c r="I599"/>
    </row>
    <row r="600" spans="1:9" ht="15.75">
      <c r="A600" s="657"/>
      <c r="B600" s="740"/>
      <c r="C600" s="657" t="s">
        <v>1061</v>
      </c>
      <c r="D600" s="657" t="s">
        <v>1057</v>
      </c>
      <c r="E600" s="657" t="s">
        <v>1062</v>
      </c>
      <c r="F600" s="657"/>
      <c r="I600"/>
    </row>
    <row r="601" spans="1:9" ht="15.75">
      <c r="A601" s="71" t="s">
        <v>999</v>
      </c>
      <c r="B601" s="544"/>
      <c r="C601" s="544"/>
      <c r="D601" s="544"/>
      <c r="E601" s="544"/>
      <c r="F601" s="544"/>
      <c r="I601"/>
    </row>
    <row r="602" spans="1:9" ht="15.75">
      <c r="A602" s="707" t="s">
        <v>666</v>
      </c>
      <c r="B602" s="743" t="s">
        <v>667</v>
      </c>
      <c r="C602" s="744">
        <v>22180</v>
      </c>
      <c r="D602" s="744">
        <f>378560-17530</f>
        <v>361030</v>
      </c>
      <c r="E602" s="744">
        <v>37530</v>
      </c>
      <c r="F602" s="741">
        <f aca="true" t="shared" si="31" ref="F602:F615">SUM(C602:E602)</f>
        <v>420740</v>
      </c>
      <c r="H602" s="9"/>
      <c r="I602"/>
    </row>
    <row r="603" spans="1:9" ht="15.75">
      <c r="A603" s="707" t="s">
        <v>668</v>
      </c>
      <c r="B603" s="743" t="s">
        <v>669</v>
      </c>
      <c r="C603" s="744">
        <v>2330</v>
      </c>
      <c r="D603" s="744">
        <f>28390-1320</f>
        <v>27070</v>
      </c>
      <c r="E603" s="744">
        <v>2420</v>
      </c>
      <c r="F603" s="741">
        <f t="shared" si="31"/>
        <v>31820</v>
      </c>
      <c r="H603" s="9"/>
      <c r="I603"/>
    </row>
    <row r="604" spans="1:9" ht="15.75">
      <c r="A604" s="707" t="s">
        <v>670</v>
      </c>
      <c r="B604" s="743" t="s">
        <v>726</v>
      </c>
      <c r="C604" s="744">
        <v>0</v>
      </c>
      <c r="D604" s="744">
        <v>0</v>
      </c>
      <c r="E604" s="744">
        <v>0</v>
      </c>
      <c r="F604" s="741">
        <f t="shared" si="31"/>
        <v>0</v>
      </c>
      <c r="H604" s="9"/>
      <c r="I604"/>
    </row>
    <row r="605" spans="1:9" ht="15.75">
      <c r="A605" s="707" t="s">
        <v>672</v>
      </c>
      <c r="B605" s="743" t="s">
        <v>671</v>
      </c>
      <c r="C605" s="744">
        <v>7720</v>
      </c>
      <c r="D605" s="744">
        <f>7660-610</f>
        <v>7050</v>
      </c>
      <c r="E605" s="744">
        <v>0</v>
      </c>
      <c r="F605" s="741">
        <f t="shared" si="31"/>
        <v>14770</v>
      </c>
      <c r="H605" s="9"/>
      <c r="I605"/>
    </row>
    <row r="606" spans="1:9" ht="15.75">
      <c r="A606" s="707" t="s">
        <v>673</v>
      </c>
      <c r="B606" s="743" t="s">
        <v>674</v>
      </c>
      <c r="C606" s="744">
        <v>6090</v>
      </c>
      <c r="D606" s="744">
        <f>577700-27070</f>
        <v>550630</v>
      </c>
      <c r="E606" s="744">
        <v>93110</v>
      </c>
      <c r="F606" s="741">
        <f t="shared" si="31"/>
        <v>649830</v>
      </c>
      <c r="H606" s="9"/>
      <c r="I606"/>
    </row>
    <row r="607" spans="1:9" ht="15.75">
      <c r="A607" s="707" t="s">
        <v>675</v>
      </c>
      <c r="B607" s="743" t="s">
        <v>727</v>
      </c>
      <c r="C607" s="744">
        <v>3650</v>
      </c>
      <c r="D607" s="744">
        <f>38070-1740</f>
        <v>36330</v>
      </c>
      <c r="E607" s="744">
        <v>1870</v>
      </c>
      <c r="F607" s="741">
        <f t="shared" si="31"/>
        <v>41850</v>
      </c>
      <c r="H607" s="9"/>
      <c r="I607"/>
    </row>
    <row r="608" spans="1:9" ht="15.75">
      <c r="A608" s="707" t="s">
        <v>677</v>
      </c>
      <c r="B608" s="743" t="s">
        <v>676</v>
      </c>
      <c r="C608" s="744">
        <v>3940</v>
      </c>
      <c r="D608" s="744">
        <f>110220-5010</f>
        <v>105210</v>
      </c>
      <c r="E608" s="744">
        <v>11120</v>
      </c>
      <c r="F608" s="741">
        <f t="shared" si="31"/>
        <v>120270</v>
      </c>
      <c r="H608" s="9"/>
      <c r="I608"/>
    </row>
    <row r="609" spans="1:9" ht="15.75">
      <c r="A609" s="707" t="s">
        <v>679</v>
      </c>
      <c r="B609" s="743" t="s">
        <v>678</v>
      </c>
      <c r="C609" s="744">
        <v>2080</v>
      </c>
      <c r="D609" s="744">
        <f>121150-5830</f>
        <v>115320</v>
      </c>
      <c r="E609" s="744">
        <v>22670</v>
      </c>
      <c r="F609" s="741">
        <f t="shared" si="31"/>
        <v>140070</v>
      </c>
      <c r="H609" s="9"/>
      <c r="I609"/>
    </row>
    <row r="610" spans="1:9" ht="15.75">
      <c r="A610" s="707" t="s">
        <v>680</v>
      </c>
      <c r="B610" s="743" t="s">
        <v>728</v>
      </c>
      <c r="C610" s="744">
        <v>0</v>
      </c>
      <c r="D610" s="744">
        <f>2770-110</f>
        <v>2660</v>
      </c>
      <c r="E610" s="744">
        <v>0</v>
      </c>
      <c r="F610" s="741">
        <f t="shared" si="31"/>
        <v>2660</v>
      </c>
      <c r="H610" s="9"/>
      <c r="I610"/>
    </row>
    <row r="611" spans="1:9" ht="15.75">
      <c r="A611" s="707" t="s">
        <v>681</v>
      </c>
      <c r="B611" s="743" t="s">
        <v>730</v>
      </c>
      <c r="C611" s="744">
        <v>1770</v>
      </c>
      <c r="D611" s="744">
        <f>172970-8100</f>
        <v>164870</v>
      </c>
      <c r="E611" s="744">
        <v>27770</v>
      </c>
      <c r="F611" s="741">
        <f t="shared" si="31"/>
        <v>194410</v>
      </c>
      <c r="H611" s="9"/>
      <c r="I611"/>
    </row>
    <row r="612" spans="1:9" ht="15.75">
      <c r="A612" s="707" t="s">
        <v>725</v>
      </c>
      <c r="B612" s="743" t="s">
        <v>731</v>
      </c>
      <c r="C612" s="744">
        <v>13250</v>
      </c>
      <c r="D612" s="744">
        <f>187190-8690</f>
        <v>178500</v>
      </c>
      <c r="E612" s="744">
        <v>16970</v>
      </c>
      <c r="F612" s="741">
        <f t="shared" si="31"/>
        <v>208720</v>
      </c>
      <c r="H612" s="9"/>
      <c r="I612"/>
    </row>
    <row r="613" spans="1:9" ht="15.75">
      <c r="A613" s="707" t="s">
        <v>729</v>
      </c>
      <c r="B613" s="743" t="s">
        <v>732</v>
      </c>
      <c r="C613" s="744">
        <v>9080</v>
      </c>
      <c r="D613" s="744">
        <f>128690-5980</f>
        <v>122710</v>
      </c>
      <c r="E613" s="744">
        <v>11830</v>
      </c>
      <c r="F613" s="741">
        <f t="shared" si="31"/>
        <v>143620</v>
      </c>
      <c r="H613" s="9"/>
      <c r="I613"/>
    </row>
    <row r="614" spans="1:9" ht="15.75">
      <c r="A614" s="707" t="s">
        <v>733</v>
      </c>
      <c r="B614" s="743" t="s">
        <v>735</v>
      </c>
      <c r="C614" s="744">
        <v>1560</v>
      </c>
      <c r="D614" s="744">
        <f>21790-1010</f>
        <v>20780</v>
      </c>
      <c r="E614" s="744">
        <v>1890</v>
      </c>
      <c r="F614" s="741">
        <f t="shared" si="31"/>
        <v>24230</v>
      </c>
      <c r="H614" s="9"/>
      <c r="I614"/>
    </row>
    <row r="615" spans="1:9" ht="15.75">
      <c r="A615" s="707" t="s">
        <v>734</v>
      </c>
      <c r="B615" s="743" t="s">
        <v>736</v>
      </c>
      <c r="C615" s="744">
        <v>0</v>
      </c>
      <c r="D615" s="744">
        <v>0</v>
      </c>
      <c r="E615" s="744">
        <v>0</v>
      </c>
      <c r="F615" s="741">
        <f t="shared" si="31"/>
        <v>0</v>
      </c>
      <c r="H615" s="9"/>
      <c r="I615"/>
    </row>
    <row r="616" spans="1:9" ht="15.75">
      <c r="A616" s="742"/>
      <c r="B616" s="739" t="s">
        <v>638</v>
      </c>
      <c r="C616" s="741">
        <f>SUM(C602:C615)</f>
        <v>73650</v>
      </c>
      <c r="D616" s="741">
        <f>SUM(D602:D615)</f>
        <v>1692160</v>
      </c>
      <c r="E616" s="741">
        <f>SUM(E602:E615)</f>
        <v>227180</v>
      </c>
      <c r="F616" s="741">
        <f>SUM(F602:F615)</f>
        <v>1992990</v>
      </c>
      <c r="G616" s="9"/>
      <c r="I616"/>
    </row>
    <row r="617" spans="1:6" ht="15">
      <c r="A617" s="544"/>
      <c r="B617" s="544"/>
      <c r="C617" s="544"/>
      <c r="D617" s="544"/>
      <c r="E617" s="544"/>
      <c r="F617" s="544"/>
    </row>
    <row r="618" spans="1:6" ht="15.75">
      <c r="A618" s="544" t="str">
        <f>+A575</f>
        <v> </v>
      </c>
      <c r="B618" s="544"/>
      <c r="C618" s="544"/>
      <c r="D618" s="544"/>
      <c r="E618" s="69" t="s">
        <v>363</v>
      </c>
      <c r="F618" s="544"/>
    </row>
    <row r="619" spans="1:6" ht="15.75">
      <c r="A619" s="787" t="s">
        <v>383</v>
      </c>
      <c r="B619" s="787"/>
      <c r="C619" s="787"/>
      <c r="D619" s="787"/>
      <c r="E619" s="787"/>
      <c r="F619" s="787"/>
    </row>
    <row r="620" spans="1:6" ht="15.75">
      <c r="A620" s="69" t="str">
        <f>+A577</f>
        <v>Juris.:</v>
      </c>
      <c r="B620" s="787" t="s">
        <v>1055</v>
      </c>
      <c r="C620" s="787"/>
      <c r="D620" s="544"/>
      <c r="E620" s="544"/>
      <c r="F620" s="544"/>
    </row>
    <row r="621" spans="1:6" ht="15.75">
      <c r="A621" s="69" t="s">
        <v>1012</v>
      </c>
      <c r="B621" s="76"/>
      <c r="C621" s="544"/>
      <c r="D621" s="544"/>
      <c r="E621" s="544"/>
      <c r="F621" s="544"/>
    </row>
    <row r="622" spans="1:6" ht="15">
      <c r="A622" s="544"/>
      <c r="B622" s="544"/>
      <c r="C622" s="544"/>
      <c r="D622" s="544"/>
      <c r="E622" s="544"/>
      <c r="F622" s="544"/>
    </row>
    <row r="623" spans="1:9" ht="15.75">
      <c r="A623" s="657" t="s">
        <v>621</v>
      </c>
      <c r="B623" s="739" t="s">
        <v>1001</v>
      </c>
      <c r="C623" s="657" t="s">
        <v>1014</v>
      </c>
      <c r="D623" s="657" t="s">
        <v>1056</v>
      </c>
      <c r="E623" s="657" t="s">
        <v>1058</v>
      </c>
      <c r="F623" s="657" t="s">
        <v>638</v>
      </c>
      <c r="I623"/>
    </row>
    <row r="624" spans="1:9" ht="15.75">
      <c r="A624" s="657"/>
      <c r="B624" s="740"/>
      <c r="C624" s="657" t="s">
        <v>1061</v>
      </c>
      <c r="D624" s="657" t="s">
        <v>1057</v>
      </c>
      <c r="E624" s="657" t="s">
        <v>1062</v>
      </c>
      <c r="F624" s="657"/>
      <c r="H624" s="564"/>
      <c r="I624"/>
    </row>
    <row r="625" spans="1:9" ht="15.75">
      <c r="A625" s="71" t="s">
        <v>1000</v>
      </c>
      <c r="B625" s="544"/>
      <c r="C625" s="544"/>
      <c r="D625" s="544"/>
      <c r="E625" s="544"/>
      <c r="F625" s="544"/>
      <c r="I625"/>
    </row>
    <row r="626" spans="1:9" ht="15.75">
      <c r="A626" s="706">
        <v>1</v>
      </c>
      <c r="B626" s="743" t="s">
        <v>834</v>
      </c>
      <c r="C626" s="744"/>
      <c r="D626" s="744"/>
      <c r="E626" s="744"/>
      <c r="F626" s="741">
        <f aca="true" t="shared" si="32" ref="F626:F644">SUM(C626:E626)</f>
        <v>0</v>
      </c>
      <c r="H626" s="9"/>
      <c r="I626"/>
    </row>
    <row r="627" spans="1:9" ht="15.75">
      <c r="A627" s="706">
        <v>2</v>
      </c>
      <c r="B627" s="743" t="s">
        <v>835</v>
      </c>
      <c r="C627" s="744"/>
      <c r="D627" s="744"/>
      <c r="E627" s="744"/>
      <c r="F627" s="741">
        <f t="shared" si="32"/>
        <v>0</v>
      </c>
      <c r="H627" s="9"/>
      <c r="I627"/>
    </row>
    <row r="628" spans="1:9" ht="15.75">
      <c r="A628" s="706">
        <v>3</v>
      </c>
      <c r="B628" s="743" t="s">
        <v>836</v>
      </c>
      <c r="C628" s="744"/>
      <c r="D628" s="744"/>
      <c r="E628" s="744"/>
      <c r="F628" s="741">
        <f t="shared" si="32"/>
        <v>0</v>
      </c>
      <c r="H628" s="9"/>
      <c r="I628"/>
    </row>
    <row r="629" spans="1:9" ht="15.75">
      <c r="A629" s="706">
        <v>4</v>
      </c>
      <c r="B629" s="743" t="s">
        <v>837</v>
      </c>
      <c r="C629" s="744">
        <v>4510</v>
      </c>
      <c r="D629" s="744">
        <f>68000-20000</f>
        <v>48000</v>
      </c>
      <c r="E629" s="744">
        <f>127420-31980-20000</f>
        <v>75440</v>
      </c>
      <c r="F629" s="741">
        <f t="shared" si="32"/>
        <v>127950</v>
      </c>
      <c r="H629" s="9"/>
      <c r="I629"/>
    </row>
    <row r="630" spans="1:9" ht="15.75">
      <c r="A630" s="706">
        <v>5</v>
      </c>
      <c r="B630" s="743" t="s">
        <v>838</v>
      </c>
      <c r="C630" s="744"/>
      <c r="D630" s="744"/>
      <c r="E630" s="744"/>
      <c r="F630" s="741">
        <f t="shared" si="32"/>
        <v>0</v>
      </c>
      <c r="H630" s="9"/>
      <c r="I630"/>
    </row>
    <row r="631" spans="1:9" ht="15.75">
      <c r="A631" s="706">
        <v>6</v>
      </c>
      <c r="B631" s="743" t="s">
        <v>839</v>
      </c>
      <c r="C631" s="744"/>
      <c r="D631" s="744"/>
      <c r="E631" s="744"/>
      <c r="F631" s="741">
        <f t="shared" si="32"/>
        <v>0</v>
      </c>
      <c r="I631"/>
    </row>
    <row r="632" spans="1:9" ht="15.75">
      <c r="A632" s="706">
        <v>7</v>
      </c>
      <c r="B632" s="743" t="s">
        <v>840</v>
      </c>
      <c r="C632" s="744"/>
      <c r="D632" s="744"/>
      <c r="E632" s="744"/>
      <c r="F632" s="741">
        <f t="shared" si="32"/>
        <v>0</v>
      </c>
      <c r="I632"/>
    </row>
    <row r="633" spans="1:9" ht="15.75">
      <c r="A633" s="706">
        <v>8</v>
      </c>
      <c r="B633" s="743" t="s">
        <v>842</v>
      </c>
      <c r="C633" s="744"/>
      <c r="D633" s="744"/>
      <c r="E633" s="744"/>
      <c r="F633" s="741">
        <f t="shared" si="32"/>
        <v>0</v>
      </c>
      <c r="I633"/>
    </row>
    <row r="634" spans="1:9" ht="15.75">
      <c r="A634" s="706">
        <v>9</v>
      </c>
      <c r="B634" s="743" t="s">
        <v>843</v>
      </c>
      <c r="C634" s="744"/>
      <c r="D634" s="744"/>
      <c r="E634" s="744"/>
      <c r="F634" s="741">
        <f t="shared" si="32"/>
        <v>0</v>
      </c>
      <c r="I634"/>
    </row>
    <row r="635" spans="1:9" ht="15.75">
      <c r="A635" s="706">
        <v>10</v>
      </c>
      <c r="B635" s="743" t="s">
        <v>844</v>
      </c>
      <c r="C635" s="744"/>
      <c r="D635" s="744"/>
      <c r="E635" s="744"/>
      <c r="F635" s="741">
        <f t="shared" si="32"/>
        <v>0</v>
      </c>
      <c r="I635"/>
    </row>
    <row r="636" spans="1:9" ht="15.75">
      <c r="A636" s="706">
        <v>11</v>
      </c>
      <c r="B636" s="743" t="s">
        <v>845</v>
      </c>
      <c r="C636" s="744"/>
      <c r="D636" s="744"/>
      <c r="E636" s="744"/>
      <c r="F636" s="741">
        <f t="shared" si="32"/>
        <v>0</v>
      </c>
      <c r="I636"/>
    </row>
    <row r="637" spans="1:9" ht="15.75">
      <c r="A637" s="706">
        <v>12</v>
      </c>
      <c r="B637" s="743" t="s">
        <v>846</v>
      </c>
      <c r="C637" s="744"/>
      <c r="D637" s="744"/>
      <c r="E637" s="744"/>
      <c r="F637" s="741">
        <f t="shared" si="32"/>
        <v>0</v>
      </c>
      <c r="I637"/>
    </row>
    <row r="638" spans="1:9" ht="15.75">
      <c r="A638" s="706">
        <v>13</v>
      </c>
      <c r="B638" s="743" t="s">
        <v>847</v>
      </c>
      <c r="C638" s="744"/>
      <c r="D638" s="744"/>
      <c r="E638" s="744"/>
      <c r="F638" s="741">
        <f t="shared" si="32"/>
        <v>0</v>
      </c>
      <c r="I638"/>
    </row>
    <row r="639" spans="1:9" ht="15.75">
      <c r="A639" s="706">
        <v>14</v>
      </c>
      <c r="B639" s="743" t="s">
        <v>848</v>
      </c>
      <c r="C639" s="744"/>
      <c r="D639" s="744"/>
      <c r="E639" s="744"/>
      <c r="F639" s="741">
        <f t="shared" si="32"/>
        <v>0</v>
      </c>
      <c r="I639"/>
    </row>
    <row r="640" spans="1:9" ht="15.75">
      <c r="A640" s="706">
        <v>15</v>
      </c>
      <c r="B640" s="743" t="s">
        <v>849</v>
      </c>
      <c r="C640" s="744">
        <v>7000</v>
      </c>
      <c r="D640" s="744"/>
      <c r="E640" s="744">
        <f>37300-7080-7000</f>
        <v>23220</v>
      </c>
      <c r="F640" s="741">
        <f t="shared" si="32"/>
        <v>30220</v>
      </c>
      <c r="H640" s="9"/>
      <c r="I640"/>
    </row>
    <row r="641" spans="1:9" ht="15.75">
      <c r="A641" s="706">
        <v>16</v>
      </c>
      <c r="B641" s="743" t="s">
        <v>850</v>
      </c>
      <c r="C641" s="744"/>
      <c r="D641" s="744"/>
      <c r="E641" s="744"/>
      <c r="F641" s="741">
        <f t="shared" si="32"/>
        <v>0</v>
      </c>
      <c r="I641"/>
    </row>
    <row r="642" spans="1:9" ht="15.75">
      <c r="A642" s="706">
        <v>17</v>
      </c>
      <c r="B642" s="743" t="s">
        <v>851</v>
      </c>
      <c r="C642" s="744"/>
      <c r="D642" s="744"/>
      <c r="E642" s="744"/>
      <c r="F642" s="741">
        <f t="shared" si="32"/>
        <v>0</v>
      </c>
      <c r="I642"/>
    </row>
    <row r="643" spans="1:9" ht="15.75">
      <c r="A643" s="706">
        <v>18</v>
      </c>
      <c r="B643" s="743" t="s">
        <v>852</v>
      </c>
      <c r="C643" s="744"/>
      <c r="D643" s="744"/>
      <c r="E643" s="744"/>
      <c r="F643" s="741">
        <f t="shared" si="32"/>
        <v>0</v>
      </c>
      <c r="I643"/>
    </row>
    <row r="644" spans="1:9" ht="15.75">
      <c r="A644" s="706">
        <v>19</v>
      </c>
      <c r="B644" s="743" t="s">
        <v>853</v>
      </c>
      <c r="C644" s="744"/>
      <c r="D644" s="744"/>
      <c r="E644" s="744"/>
      <c r="F644" s="741">
        <f t="shared" si="32"/>
        <v>0</v>
      </c>
      <c r="I644"/>
    </row>
    <row r="645" spans="1:9" ht="15.75">
      <c r="A645" s="742"/>
      <c r="B645" s="739" t="s">
        <v>638</v>
      </c>
      <c r="C645" s="741">
        <f>SUM(C626:C644)</f>
        <v>11510</v>
      </c>
      <c r="D645" s="741">
        <f>SUM(D626:D644)</f>
        <v>48000</v>
      </c>
      <c r="E645" s="741">
        <f>SUM(E626:E644)</f>
        <v>98660</v>
      </c>
      <c r="F645" s="741">
        <f>SUM(F626:F644)</f>
        <v>158170</v>
      </c>
      <c r="I645"/>
    </row>
    <row r="646" spans="1:9" ht="15">
      <c r="A646" s="544"/>
      <c r="B646" s="544"/>
      <c r="C646" s="544"/>
      <c r="D646" s="544"/>
      <c r="E646" s="544"/>
      <c r="F646" s="544"/>
      <c r="I646"/>
    </row>
    <row r="647" spans="1:9" ht="15.75">
      <c r="A647" s="657" t="s">
        <v>621</v>
      </c>
      <c r="B647" s="739" t="s">
        <v>990</v>
      </c>
      <c r="C647" s="657" t="s">
        <v>1014</v>
      </c>
      <c r="D647" s="657" t="s">
        <v>1056</v>
      </c>
      <c r="E647" s="657" t="s">
        <v>1058</v>
      </c>
      <c r="F647" s="657" t="s">
        <v>638</v>
      </c>
      <c r="I647"/>
    </row>
    <row r="648" spans="1:9" ht="15.75">
      <c r="A648" s="657"/>
      <c r="B648" s="740"/>
      <c r="C648" s="657" t="s">
        <v>1061</v>
      </c>
      <c r="D648" s="657" t="s">
        <v>1057</v>
      </c>
      <c r="E648" s="657" t="s">
        <v>1062</v>
      </c>
      <c r="F648" s="657"/>
      <c r="I648"/>
    </row>
    <row r="649" spans="1:9" ht="15.75">
      <c r="A649" s="71" t="s">
        <v>1002</v>
      </c>
      <c r="B649" s="544"/>
      <c r="C649" s="544"/>
      <c r="D649" s="544"/>
      <c r="E649" s="544"/>
      <c r="F649" s="544"/>
      <c r="I649"/>
    </row>
    <row r="650" spans="1:9" ht="15.75">
      <c r="A650" s="706">
        <v>1</v>
      </c>
      <c r="B650" s="743" t="s">
        <v>854</v>
      </c>
      <c r="C650" s="744"/>
      <c r="D650" s="744"/>
      <c r="E650" s="744"/>
      <c r="F650" s="741">
        <f aca="true" t="shared" si="33" ref="F650:F671">SUM(C650:E650)</f>
        <v>0</v>
      </c>
      <c r="I650"/>
    </row>
    <row r="651" spans="1:9" ht="15.75">
      <c r="A651" s="706">
        <v>2</v>
      </c>
      <c r="B651" s="743" t="s">
        <v>855</v>
      </c>
      <c r="C651" s="744"/>
      <c r="D651" s="744"/>
      <c r="E651" s="744"/>
      <c r="F651" s="741">
        <f t="shared" si="33"/>
        <v>0</v>
      </c>
      <c r="I651"/>
    </row>
    <row r="652" spans="1:9" ht="15.75">
      <c r="A652" s="706">
        <v>3</v>
      </c>
      <c r="B652" s="743" t="s">
        <v>856</v>
      </c>
      <c r="C652" s="744"/>
      <c r="D652" s="744"/>
      <c r="E652" s="744"/>
      <c r="F652" s="741">
        <f t="shared" si="33"/>
        <v>0</v>
      </c>
      <c r="I652"/>
    </row>
    <row r="653" spans="1:9" ht="15.75">
      <c r="A653" s="706">
        <v>4</v>
      </c>
      <c r="B653" s="743" t="s">
        <v>857</v>
      </c>
      <c r="C653" s="744"/>
      <c r="D653" s="744"/>
      <c r="E653" s="744"/>
      <c r="F653" s="741">
        <f t="shared" si="33"/>
        <v>0</v>
      </c>
      <c r="I653"/>
    </row>
    <row r="654" spans="1:9" ht="15.75">
      <c r="A654" s="706">
        <v>5</v>
      </c>
      <c r="B654" s="743" t="s">
        <v>858</v>
      </c>
      <c r="C654" s="744"/>
      <c r="D654" s="744"/>
      <c r="E654" s="744"/>
      <c r="F654" s="741">
        <f t="shared" si="33"/>
        <v>0</v>
      </c>
      <c r="I654"/>
    </row>
    <row r="655" spans="1:9" ht="15.75">
      <c r="A655" s="706">
        <v>6</v>
      </c>
      <c r="B655" s="743" t="s">
        <v>859</v>
      </c>
      <c r="C655" s="744"/>
      <c r="D655" s="744"/>
      <c r="E655" s="744"/>
      <c r="F655" s="741">
        <f t="shared" si="33"/>
        <v>0</v>
      </c>
      <c r="I655"/>
    </row>
    <row r="656" spans="1:9" ht="15.75">
      <c r="A656" s="706">
        <v>7</v>
      </c>
      <c r="B656" s="743" t="s">
        <v>860</v>
      </c>
      <c r="C656" s="744"/>
      <c r="D656" s="744">
        <f>5096160-815380-318500</f>
        <v>3962280</v>
      </c>
      <c r="E656" s="744">
        <f>5096160-815380-318500</f>
        <v>3962280</v>
      </c>
      <c r="F656" s="741">
        <f t="shared" si="33"/>
        <v>7924560</v>
      </c>
      <c r="H656" s="9"/>
      <c r="I656"/>
    </row>
    <row r="657" spans="1:9" ht="15.75">
      <c r="A657" s="706">
        <v>8</v>
      </c>
      <c r="B657" s="743" t="s">
        <v>861</v>
      </c>
      <c r="C657" s="744"/>
      <c r="D657" s="744"/>
      <c r="E657" s="744"/>
      <c r="F657" s="741">
        <f t="shared" si="33"/>
        <v>0</v>
      </c>
      <c r="I657"/>
    </row>
    <row r="658" spans="1:9" ht="15.75">
      <c r="A658" s="706">
        <v>9</v>
      </c>
      <c r="B658" s="743" t="s">
        <v>862</v>
      </c>
      <c r="C658" s="744"/>
      <c r="D658" s="744"/>
      <c r="E658" s="744"/>
      <c r="F658" s="741">
        <f t="shared" si="33"/>
        <v>0</v>
      </c>
      <c r="H658" s="9"/>
      <c r="I658"/>
    </row>
    <row r="659" spans="1:9" ht="15.75">
      <c r="A659" s="706">
        <v>10</v>
      </c>
      <c r="B659" s="743" t="s">
        <v>863</v>
      </c>
      <c r="C659" s="744"/>
      <c r="D659" s="744"/>
      <c r="E659" s="744"/>
      <c r="F659" s="741">
        <f t="shared" si="33"/>
        <v>0</v>
      </c>
      <c r="I659"/>
    </row>
    <row r="660" spans="1:9" ht="15.75">
      <c r="A660" s="706">
        <v>11</v>
      </c>
      <c r="B660" s="743" t="s">
        <v>864</v>
      </c>
      <c r="C660" s="744"/>
      <c r="D660" s="744"/>
      <c r="E660" s="744"/>
      <c r="F660" s="741">
        <f t="shared" si="33"/>
        <v>0</v>
      </c>
      <c r="I660"/>
    </row>
    <row r="661" spans="1:9" ht="15.75">
      <c r="A661" s="706">
        <v>12</v>
      </c>
      <c r="B661" s="743" t="s">
        <v>865</v>
      </c>
      <c r="C661" s="744"/>
      <c r="D661" s="744"/>
      <c r="E661" s="744"/>
      <c r="F661" s="741">
        <f t="shared" si="33"/>
        <v>0</v>
      </c>
      <c r="I661"/>
    </row>
    <row r="662" spans="1:9" ht="15.75">
      <c r="A662" s="706">
        <v>13</v>
      </c>
      <c r="B662" s="743" t="s">
        <v>866</v>
      </c>
      <c r="C662" s="744"/>
      <c r="D662" s="744"/>
      <c r="E662" s="744"/>
      <c r="F662" s="741">
        <f t="shared" si="33"/>
        <v>0</v>
      </c>
      <c r="I662"/>
    </row>
    <row r="663" spans="1:9" ht="15.75">
      <c r="A663" s="706">
        <v>14</v>
      </c>
      <c r="B663" s="743" t="s">
        <v>867</v>
      </c>
      <c r="C663" s="744"/>
      <c r="D663" s="744"/>
      <c r="E663" s="744"/>
      <c r="F663" s="741">
        <f t="shared" si="33"/>
        <v>0</v>
      </c>
      <c r="I663"/>
    </row>
    <row r="664" spans="1:9" ht="15.75">
      <c r="A664" s="706">
        <v>15</v>
      </c>
      <c r="B664" s="743" t="s">
        <v>868</v>
      </c>
      <c r="C664" s="744"/>
      <c r="D664" s="744"/>
      <c r="E664" s="744"/>
      <c r="F664" s="741">
        <f t="shared" si="33"/>
        <v>0</v>
      </c>
      <c r="I664"/>
    </row>
    <row r="665" spans="1:9" ht="15.75">
      <c r="A665" s="706">
        <v>16</v>
      </c>
      <c r="B665" s="743" t="s">
        <v>869</v>
      </c>
      <c r="C665" s="744"/>
      <c r="D665" s="744"/>
      <c r="E665" s="744"/>
      <c r="F665" s="741">
        <f t="shared" si="33"/>
        <v>0</v>
      </c>
      <c r="I665"/>
    </row>
    <row r="666" spans="1:9" ht="15.75">
      <c r="A666" s="706">
        <v>17</v>
      </c>
      <c r="B666" s="743" t="s">
        <v>870</v>
      </c>
      <c r="C666" s="744">
        <f>125000-20000</f>
        <v>105000</v>
      </c>
      <c r="D666" s="744"/>
      <c r="E666" s="744"/>
      <c r="F666" s="741">
        <f t="shared" si="33"/>
        <v>105000</v>
      </c>
      <c r="H666" s="9"/>
      <c r="I666"/>
    </row>
    <row r="667" spans="1:9" ht="15.75">
      <c r="A667" s="706">
        <v>18</v>
      </c>
      <c r="B667" s="743" t="s">
        <v>871</v>
      </c>
      <c r="C667" s="744"/>
      <c r="D667" s="744"/>
      <c r="E667" s="744"/>
      <c r="F667" s="741">
        <f t="shared" si="33"/>
        <v>0</v>
      </c>
      <c r="I667"/>
    </row>
    <row r="668" spans="1:9" ht="15.75">
      <c r="A668" s="706">
        <v>19</v>
      </c>
      <c r="B668" s="743" t="s">
        <v>872</v>
      </c>
      <c r="C668" s="744"/>
      <c r="D668" s="744"/>
      <c r="E668" s="744"/>
      <c r="F668" s="741">
        <f t="shared" si="33"/>
        <v>0</v>
      </c>
      <c r="I668"/>
    </row>
    <row r="669" spans="1:9" ht="15.75">
      <c r="A669" s="706">
        <v>20</v>
      </c>
      <c r="B669" s="743" t="s">
        <v>873</v>
      </c>
      <c r="C669" s="744"/>
      <c r="D669" s="744"/>
      <c r="E669" s="744"/>
      <c r="F669" s="741">
        <f t="shared" si="33"/>
        <v>0</v>
      </c>
      <c r="I669"/>
    </row>
    <row r="670" spans="1:9" ht="15.75">
      <c r="A670" s="706">
        <v>21</v>
      </c>
      <c r="B670" s="743" t="s">
        <v>874</v>
      </c>
      <c r="C670" s="744"/>
      <c r="D670" s="744"/>
      <c r="E670" s="744"/>
      <c r="F670" s="741">
        <f t="shared" si="33"/>
        <v>0</v>
      </c>
      <c r="I670"/>
    </row>
    <row r="671" spans="1:9" ht="15.75">
      <c r="A671" s="706" t="s">
        <v>106</v>
      </c>
      <c r="B671" s="743" t="s">
        <v>117</v>
      </c>
      <c r="C671" s="744"/>
      <c r="D671" s="744"/>
      <c r="E671" s="744"/>
      <c r="F671" s="741">
        <f t="shared" si="33"/>
        <v>0</v>
      </c>
      <c r="I671"/>
    </row>
    <row r="672" spans="1:9" ht="15.75">
      <c r="A672" s="742"/>
      <c r="B672" s="739" t="s">
        <v>638</v>
      </c>
      <c r="C672" s="741">
        <f>SUM(C650:C671)</f>
        <v>105000</v>
      </c>
      <c r="D672" s="741">
        <f>SUM(D650:D671)</f>
        <v>3962280</v>
      </c>
      <c r="E672" s="741">
        <f>SUM(E650:E671)</f>
        <v>3962280</v>
      </c>
      <c r="F672" s="741">
        <f>SUM(F650:F671)</f>
        <v>8029560</v>
      </c>
      <c r="I672"/>
    </row>
    <row r="673" spans="1:6" ht="15">
      <c r="A673" s="544"/>
      <c r="B673" s="544"/>
      <c r="C673" s="544"/>
      <c r="D673" s="544"/>
      <c r="E673" s="544"/>
      <c r="F673" s="544"/>
    </row>
    <row r="674" spans="1:9" ht="15.75">
      <c r="A674" s="657" t="s">
        <v>621</v>
      </c>
      <c r="B674" s="739" t="s">
        <v>1016</v>
      </c>
      <c r="C674" s="657" t="s">
        <v>1014</v>
      </c>
      <c r="D674" s="657" t="s">
        <v>1056</v>
      </c>
      <c r="E674" s="657" t="s">
        <v>1058</v>
      </c>
      <c r="F674" s="657" t="s">
        <v>638</v>
      </c>
      <c r="I674"/>
    </row>
    <row r="675" spans="1:9" ht="15.75">
      <c r="A675" s="657"/>
      <c r="B675" s="740"/>
      <c r="C675" s="657" t="s">
        <v>1061</v>
      </c>
      <c r="D675" s="657" t="s">
        <v>1057</v>
      </c>
      <c r="E675" s="657" t="s">
        <v>1062</v>
      </c>
      <c r="F675" s="657"/>
      <c r="I675"/>
    </row>
    <row r="676" spans="1:9" ht="15.75">
      <c r="A676" s="71" t="s">
        <v>1003</v>
      </c>
      <c r="B676" s="544"/>
      <c r="C676" s="544"/>
      <c r="D676" s="544"/>
      <c r="E676" s="544"/>
      <c r="F676" s="544"/>
      <c r="I676"/>
    </row>
    <row r="677" spans="1:9" ht="15.75">
      <c r="A677" s="706">
        <v>1</v>
      </c>
      <c r="B677" s="743" t="s">
        <v>875</v>
      </c>
      <c r="C677" s="744"/>
      <c r="D677" s="744"/>
      <c r="E677" s="744">
        <f>839460-134310-185000</f>
        <v>520150</v>
      </c>
      <c r="F677" s="741">
        <f aca="true" t="shared" si="34" ref="F677:F687">SUM(C677:E677)</f>
        <v>520150</v>
      </c>
      <c r="H677" s="9"/>
      <c r="I677"/>
    </row>
    <row r="678" spans="1:9" ht="15.75">
      <c r="A678" s="706">
        <v>2</v>
      </c>
      <c r="B678" s="743" t="s">
        <v>876</v>
      </c>
      <c r="C678" s="744"/>
      <c r="D678" s="744"/>
      <c r="E678" s="744">
        <f>100540-16080</f>
        <v>84460</v>
      </c>
      <c r="F678" s="741">
        <f t="shared" si="34"/>
        <v>84460</v>
      </c>
      <c r="H678" s="9"/>
      <c r="I678"/>
    </row>
    <row r="679" spans="1:9" ht="15.75">
      <c r="A679" s="706">
        <v>3</v>
      </c>
      <c r="B679" s="743" t="s">
        <v>877</v>
      </c>
      <c r="C679" s="744"/>
      <c r="D679" s="744"/>
      <c r="E679" s="744"/>
      <c r="F679" s="741">
        <f t="shared" si="34"/>
        <v>0</v>
      </c>
      <c r="I679"/>
    </row>
    <row r="680" spans="1:9" ht="15.75">
      <c r="A680" s="706">
        <v>4</v>
      </c>
      <c r="B680" s="743" t="s">
        <v>878</v>
      </c>
      <c r="C680" s="744"/>
      <c r="D680" s="744"/>
      <c r="E680" s="744"/>
      <c r="F680" s="741">
        <f t="shared" si="34"/>
        <v>0</v>
      </c>
      <c r="I680"/>
    </row>
    <row r="681" spans="1:9" ht="15.75">
      <c r="A681" s="706">
        <v>5</v>
      </c>
      <c r="B681" s="743" t="s">
        <v>879</v>
      </c>
      <c r="C681" s="744"/>
      <c r="D681" s="744"/>
      <c r="E681" s="744"/>
      <c r="F681" s="741">
        <f t="shared" si="34"/>
        <v>0</v>
      </c>
      <c r="I681"/>
    </row>
    <row r="682" spans="1:9" ht="15.75">
      <c r="A682" s="706">
        <v>6</v>
      </c>
      <c r="B682" s="743" t="s">
        <v>880</v>
      </c>
      <c r="C682" s="744">
        <f>232050-37120</f>
        <v>194930</v>
      </c>
      <c r="D682" s="744"/>
      <c r="E682" s="744"/>
      <c r="F682" s="741">
        <f t="shared" si="34"/>
        <v>194930</v>
      </c>
      <c r="H682" s="9"/>
      <c r="I682"/>
    </row>
    <row r="683" spans="1:9" ht="15.75">
      <c r="A683" s="706">
        <v>7</v>
      </c>
      <c r="B683" s="743" t="s">
        <v>893</v>
      </c>
      <c r="C683" s="744"/>
      <c r="D683" s="744"/>
      <c r="E683" s="744"/>
      <c r="F683" s="741">
        <f t="shared" si="34"/>
        <v>0</v>
      </c>
      <c r="I683"/>
    </row>
    <row r="684" spans="1:9" ht="15.75">
      <c r="A684" s="706">
        <v>8</v>
      </c>
      <c r="B684" s="743" t="s">
        <v>894</v>
      </c>
      <c r="C684" s="744"/>
      <c r="D684" s="744"/>
      <c r="E684" s="744"/>
      <c r="F684" s="741">
        <f t="shared" si="34"/>
        <v>0</v>
      </c>
      <c r="I684"/>
    </row>
    <row r="685" spans="1:11" ht="15.75">
      <c r="A685" s="706">
        <v>9</v>
      </c>
      <c r="B685" s="743" t="s">
        <v>897</v>
      </c>
      <c r="C685" s="744"/>
      <c r="D685" s="744"/>
      <c r="E685" s="744"/>
      <c r="F685" s="741">
        <f t="shared" si="34"/>
        <v>0</v>
      </c>
      <c r="I685"/>
      <c r="K685" s="88"/>
    </row>
    <row r="686" spans="1:11" ht="15.75">
      <c r="A686" s="706">
        <v>10</v>
      </c>
      <c r="B686" s="743" t="s">
        <v>895</v>
      </c>
      <c r="C686" s="744"/>
      <c r="D686" s="744"/>
      <c r="E686" s="744"/>
      <c r="F686" s="741">
        <f t="shared" si="34"/>
        <v>0</v>
      </c>
      <c r="I686"/>
      <c r="K686" s="88"/>
    </row>
    <row r="687" spans="1:11" ht="15.75">
      <c r="A687" s="706" t="s">
        <v>911</v>
      </c>
      <c r="B687" s="743" t="s">
        <v>387</v>
      </c>
      <c r="C687" s="744"/>
      <c r="D687" s="744"/>
      <c r="E687" s="744"/>
      <c r="F687" s="741">
        <f t="shared" si="34"/>
        <v>0</v>
      </c>
      <c r="I687"/>
      <c r="K687" s="88"/>
    </row>
    <row r="688" spans="1:11" ht="15.75">
      <c r="A688" s="742"/>
      <c r="B688" s="739" t="s">
        <v>638</v>
      </c>
      <c r="C688" s="741">
        <f>SUM(C677:C687)</f>
        <v>194930</v>
      </c>
      <c r="D688" s="741">
        <f>SUM(D677:D687)</f>
        <v>0</v>
      </c>
      <c r="E688" s="741">
        <f>SUM(E677:E687)</f>
        <v>604610</v>
      </c>
      <c r="F688" s="741">
        <f>SUM(F677:F687)</f>
        <v>799540</v>
      </c>
      <c r="I688"/>
      <c r="K688" s="88"/>
    </row>
    <row r="689" spans="1:4" ht="18">
      <c r="A689" s="658"/>
      <c r="B689" s="658"/>
      <c r="C689" s="659" t="s">
        <v>363</v>
      </c>
      <c r="D689" s="658"/>
    </row>
    <row r="690" spans="1:4" ht="18">
      <c r="A690" s="758" t="str">
        <f>+A618</f>
        <v> </v>
      </c>
      <c r="B690" s="759"/>
      <c r="C690" s="759"/>
      <c r="D690" s="658"/>
    </row>
    <row r="691" spans="1:4" ht="18">
      <c r="A691" s="760"/>
      <c r="B691" s="791" t="s">
        <v>383</v>
      </c>
      <c r="C691" s="791"/>
      <c r="D691" s="658"/>
    </row>
    <row r="692" spans="1:4" ht="18">
      <c r="A692" s="659" t="s">
        <v>37</v>
      </c>
      <c r="B692" s="779" t="s">
        <v>423</v>
      </c>
      <c r="C692" s="779"/>
      <c r="D692" s="658"/>
    </row>
    <row r="693" spans="1:4" ht="18">
      <c r="A693" s="659" t="s">
        <v>1012</v>
      </c>
      <c r="B693" s="660"/>
      <c r="C693" s="658"/>
      <c r="D693" s="658"/>
    </row>
    <row r="694" spans="1:4" ht="18">
      <c r="A694" s="658"/>
      <c r="B694" s="658"/>
      <c r="C694" s="658"/>
      <c r="D694" s="658"/>
    </row>
    <row r="695" spans="1:9" ht="18">
      <c r="A695" s="661" t="s">
        <v>621</v>
      </c>
      <c r="B695" s="662" t="s">
        <v>996</v>
      </c>
      <c r="C695" s="661" t="s">
        <v>413</v>
      </c>
      <c r="D695" s="661" t="s">
        <v>49</v>
      </c>
      <c r="I695"/>
    </row>
    <row r="696" spans="1:9" ht="18">
      <c r="A696" s="661"/>
      <c r="B696" s="663"/>
      <c r="C696" s="661" t="s">
        <v>98</v>
      </c>
      <c r="D696" s="661" t="s">
        <v>638</v>
      </c>
      <c r="F696" s="565"/>
      <c r="I696"/>
    </row>
    <row r="697" spans="1:9" ht="18">
      <c r="A697" s="664" t="s">
        <v>995</v>
      </c>
      <c r="B697" s="658"/>
      <c r="C697" s="658"/>
      <c r="D697" s="658"/>
      <c r="I697"/>
    </row>
    <row r="698" spans="1:9" ht="18">
      <c r="A698" s="748" t="s">
        <v>666</v>
      </c>
      <c r="B698" s="666" t="s">
        <v>667</v>
      </c>
      <c r="C698" s="667">
        <f>148020-5920</f>
        <v>142100</v>
      </c>
      <c r="D698" s="668">
        <f aca="true" t="shared" si="35" ref="D698:D711">SUM(C698:C698)</f>
        <v>142100</v>
      </c>
      <c r="F698" s="9"/>
      <c r="G698" s="9"/>
      <c r="I698"/>
    </row>
    <row r="699" spans="1:9" ht="18">
      <c r="A699" s="748" t="s">
        <v>668</v>
      </c>
      <c r="B699" s="666" t="s">
        <v>669</v>
      </c>
      <c r="C699" s="667">
        <f>19530-780</f>
        <v>18750</v>
      </c>
      <c r="D699" s="668">
        <f t="shared" si="35"/>
        <v>18750</v>
      </c>
      <c r="F699" s="9"/>
      <c r="G699" s="9"/>
      <c r="I699"/>
    </row>
    <row r="700" spans="1:9" ht="18">
      <c r="A700" s="748" t="s">
        <v>670</v>
      </c>
      <c r="B700" s="666" t="s">
        <v>726</v>
      </c>
      <c r="C700" s="667">
        <v>0</v>
      </c>
      <c r="D700" s="668">
        <f t="shared" si="35"/>
        <v>0</v>
      </c>
      <c r="F700" s="9"/>
      <c r="G700" s="9"/>
      <c r="I700"/>
    </row>
    <row r="701" spans="1:9" ht="18">
      <c r="A701" s="748" t="s">
        <v>672</v>
      </c>
      <c r="B701" s="666" t="s">
        <v>671</v>
      </c>
      <c r="C701" s="667">
        <v>0</v>
      </c>
      <c r="D701" s="668">
        <f t="shared" si="35"/>
        <v>0</v>
      </c>
      <c r="F701" s="9"/>
      <c r="G701" s="9"/>
      <c r="I701"/>
    </row>
    <row r="702" spans="1:9" ht="18">
      <c r="A702" s="748" t="s">
        <v>673</v>
      </c>
      <c r="B702" s="666" t="s">
        <v>674</v>
      </c>
      <c r="C702" s="667">
        <f>67770-2710</f>
        <v>65060</v>
      </c>
      <c r="D702" s="668">
        <f t="shared" si="35"/>
        <v>65060</v>
      </c>
      <c r="F702" s="9"/>
      <c r="G702" s="9"/>
      <c r="I702"/>
    </row>
    <row r="703" spans="1:9" ht="18">
      <c r="A703" s="748" t="s">
        <v>675</v>
      </c>
      <c r="B703" s="666" t="s">
        <v>727</v>
      </c>
      <c r="C703" s="667">
        <f>1490-60</f>
        <v>1430</v>
      </c>
      <c r="D703" s="668">
        <f t="shared" si="35"/>
        <v>1430</v>
      </c>
      <c r="F703" s="9"/>
      <c r="G703" s="9"/>
      <c r="I703"/>
    </row>
    <row r="704" spans="1:9" ht="18">
      <c r="A704" s="748" t="s">
        <v>677</v>
      </c>
      <c r="B704" s="666" t="s">
        <v>676</v>
      </c>
      <c r="C704" s="667">
        <f>19520-780</f>
        <v>18740</v>
      </c>
      <c r="D704" s="668">
        <f t="shared" si="35"/>
        <v>18740</v>
      </c>
      <c r="F704" s="9"/>
      <c r="G704" s="9"/>
      <c r="I704"/>
    </row>
    <row r="705" spans="1:9" ht="18">
      <c r="A705" s="748" t="s">
        <v>679</v>
      </c>
      <c r="B705" s="666" t="s">
        <v>678</v>
      </c>
      <c r="C705" s="667">
        <f>12710-500</f>
        <v>12210</v>
      </c>
      <c r="D705" s="668">
        <f t="shared" si="35"/>
        <v>12210</v>
      </c>
      <c r="F705" s="9"/>
      <c r="G705" s="9"/>
      <c r="I705"/>
    </row>
    <row r="706" spans="1:9" ht="18">
      <c r="A706" s="748" t="s">
        <v>680</v>
      </c>
      <c r="B706" s="666" t="s">
        <v>728</v>
      </c>
      <c r="C706" s="667">
        <f>610-20</f>
        <v>590</v>
      </c>
      <c r="D706" s="668">
        <f t="shared" si="35"/>
        <v>590</v>
      </c>
      <c r="F706" s="9"/>
      <c r="G706" s="9"/>
      <c r="I706"/>
    </row>
    <row r="707" spans="1:9" ht="18">
      <c r="A707" s="748" t="s">
        <v>681</v>
      </c>
      <c r="B707" s="666" t="s">
        <v>730</v>
      </c>
      <c r="C707" s="667">
        <f>24860-990</f>
        <v>23870</v>
      </c>
      <c r="D707" s="668">
        <f t="shared" si="35"/>
        <v>23870</v>
      </c>
      <c r="F707" s="9"/>
      <c r="G707" s="9"/>
      <c r="I707"/>
    </row>
    <row r="708" spans="1:9" ht="18">
      <c r="A708" s="748" t="s">
        <v>725</v>
      </c>
      <c r="B708" s="666" t="s">
        <v>731</v>
      </c>
      <c r="C708" s="667">
        <f>25360-1010</f>
        <v>24350</v>
      </c>
      <c r="D708" s="668">
        <f t="shared" si="35"/>
        <v>24350</v>
      </c>
      <c r="F708" s="9"/>
      <c r="G708" s="9"/>
      <c r="I708"/>
    </row>
    <row r="709" spans="1:9" ht="18">
      <c r="A709" s="748" t="s">
        <v>729</v>
      </c>
      <c r="B709" s="666" t="s">
        <v>732</v>
      </c>
      <c r="C709" s="667">
        <f>12450-490</f>
        <v>11960</v>
      </c>
      <c r="D709" s="668">
        <f t="shared" si="35"/>
        <v>11960</v>
      </c>
      <c r="F709" s="9"/>
      <c r="G709" s="9"/>
      <c r="I709"/>
    </row>
    <row r="710" spans="1:9" ht="18">
      <c r="A710" s="748" t="s">
        <v>733</v>
      </c>
      <c r="B710" s="666" t="s">
        <v>735</v>
      </c>
      <c r="C710" s="667">
        <f>670-30</f>
        <v>640</v>
      </c>
      <c r="D710" s="668">
        <f t="shared" si="35"/>
        <v>640</v>
      </c>
      <c r="F710" s="9"/>
      <c r="G710" s="9"/>
      <c r="I710"/>
    </row>
    <row r="711" spans="1:9" ht="18">
      <c r="A711" s="748" t="s">
        <v>734</v>
      </c>
      <c r="B711" s="666" t="s">
        <v>736</v>
      </c>
      <c r="C711" s="667">
        <v>0</v>
      </c>
      <c r="D711" s="668">
        <f t="shared" si="35"/>
        <v>0</v>
      </c>
      <c r="F711" s="9"/>
      <c r="G711" s="9"/>
      <c r="I711"/>
    </row>
    <row r="712" spans="1:9" ht="18">
      <c r="A712" s="669"/>
      <c r="B712" s="662" t="s">
        <v>638</v>
      </c>
      <c r="C712" s="668">
        <f>SUM(C698:C711)</f>
        <v>319700</v>
      </c>
      <c r="D712" s="668">
        <f>SUM(D698:D711)</f>
        <v>319700</v>
      </c>
      <c r="I712"/>
    </row>
    <row r="713" spans="1:9" ht="18">
      <c r="A713" s="658"/>
      <c r="B713" s="658"/>
      <c r="C713" s="658"/>
      <c r="D713" s="658"/>
      <c r="I713"/>
    </row>
    <row r="714" spans="1:9" ht="18">
      <c r="A714" s="661" t="s">
        <v>621</v>
      </c>
      <c r="B714" s="662" t="s">
        <v>998</v>
      </c>
      <c r="C714" s="661" t="s">
        <v>413</v>
      </c>
      <c r="D714" s="661" t="s">
        <v>49</v>
      </c>
      <c r="I714"/>
    </row>
    <row r="715" spans="1:9" ht="18">
      <c r="A715" s="661"/>
      <c r="B715" s="663"/>
      <c r="C715" s="661" t="s">
        <v>98</v>
      </c>
      <c r="D715" s="661" t="s">
        <v>638</v>
      </c>
      <c r="I715"/>
    </row>
    <row r="716" spans="1:9" ht="18">
      <c r="A716" s="664" t="s">
        <v>999</v>
      </c>
      <c r="B716" s="658"/>
      <c r="C716" s="658"/>
      <c r="D716" s="658"/>
      <c r="I716"/>
    </row>
    <row r="717" spans="1:9" ht="18">
      <c r="A717" s="748" t="s">
        <v>666</v>
      </c>
      <c r="B717" s="666" t="s">
        <v>667</v>
      </c>
      <c r="C717" s="667">
        <f>19980-800</f>
        <v>19180</v>
      </c>
      <c r="D717" s="668">
        <f aca="true" t="shared" si="36" ref="D717:D730">SUM(C717:C717)</f>
        <v>19180</v>
      </c>
      <c r="F717" s="9"/>
      <c r="I717"/>
    </row>
    <row r="718" spans="1:9" ht="18">
      <c r="A718" s="748" t="s">
        <v>668</v>
      </c>
      <c r="B718" s="666" t="s">
        <v>669</v>
      </c>
      <c r="C718" s="667">
        <f>420-20</f>
        <v>400</v>
      </c>
      <c r="D718" s="668">
        <f t="shared" si="36"/>
        <v>400</v>
      </c>
      <c r="F718" s="9"/>
      <c r="I718"/>
    </row>
    <row r="719" spans="1:9" ht="18">
      <c r="A719" s="748" t="s">
        <v>670</v>
      </c>
      <c r="B719" s="666" t="s">
        <v>726</v>
      </c>
      <c r="C719" s="667">
        <v>0</v>
      </c>
      <c r="D719" s="668">
        <f t="shared" si="36"/>
        <v>0</v>
      </c>
      <c r="F719" s="9"/>
      <c r="I719"/>
    </row>
    <row r="720" spans="1:9" ht="18">
      <c r="A720" s="748" t="s">
        <v>672</v>
      </c>
      <c r="B720" s="666" t="s">
        <v>671</v>
      </c>
      <c r="C720" s="667">
        <v>0</v>
      </c>
      <c r="D720" s="668">
        <f t="shared" si="36"/>
        <v>0</v>
      </c>
      <c r="F720" s="9"/>
      <c r="I720"/>
    </row>
    <row r="721" spans="1:9" ht="18">
      <c r="A721" s="748" t="s">
        <v>673</v>
      </c>
      <c r="B721" s="666" t="s">
        <v>674</v>
      </c>
      <c r="C721" s="667">
        <f>59300-2370</f>
        <v>56930</v>
      </c>
      <c r="D721" s="668">
        <f t="shared" si="36"/>
        <v>56930</v>
      </c>
      <c r="F721" s="9"/>
      <c r="I721"/>
    </row>
    <row r="722" spans="1:9" ht="18">
      <c r="A722" s="748" t="s">
        <v>675</v>
      </c>
      <c r="B722" s="666" t="s">
        <v>727</v>
      </c>
      <c r="C722" s="667">
        <f>19030-760</f>
        <v>18270</v>
      </c>
      <c r="D722" s="668">
        <f t="shared" si="36"/>
        <v>18270</v>
      </c>
      <c r="F722" s="9"/>
      <c r="I722"/>
    </row>
    <row r="723" spans="1:9" ht="18">
      <c r="A723" s="748" t="s">
        <v>677</v>
      </c>
      <c r="B723" s="666" t="s">
        <v>676</v>
      </c>
      <c r="C723" s="667">
        <f>8630-340</f>
        <v>8290</v>
      </c>
      <c r="D723" s="668">
        <f t="shared" si="36"/>
        <v>8290</v>
      </c>
      <c r="F723" s="9"/>
      <c r="I723"/>
    </row>
    <row r="724" spans="1:9" ht="18">
      <c r="A724" s="748" t="s">
        <v>679</v>
      </c>
      <c r="B724" s="666" t="s">
        <v>678</v>
      </c>
      <c r="C724" s="667">
        <f>8280-330</f>
        <v>7950</v>
      </c>
      <c r="D724" s="668">
        <f t="shared" si="36"/>
        <v>7950</v>
      </c>
      <c r="F724" s="9"/>
      <c r="I724"/>
    </row>
    <row r="725" spans="1:9" ht="18">
      <c r="A725" s="748" t="s">
        <v>680</v>
      </c>
      <c r="B725" s="666" t="s">
        <v>728</v>
      </c>
      <c r="C725" s="667">
        <v>0</v>
      </c>
      <c r="D725" s="668">
        <f t="shared" si="36"/>
        <v>0</v>
      </c>
      <c r="F725" s="9"/>
      <c r="I725"/>
    </row>
    <row r="726" spans="1:9" ht="18">
      <c r="A726" s="748" t="s">
        <v>681</v>
      </c>
      <c r="B726" s="666" t="s">
        <v>730</v>
      </c>
      <c r="C726" s="667">
        <f>17740-710</f>
        <v>17030</v>
      </c>
      <c r="D726" s="668">
        <f t="shared" si="36"/>
        <v>17030</v>
      </c>
      <c r="F726" s="9"/>
      <c r="I726"/>
    </row>
    <row r="727" spans="1:9" ht="18">
      <c r="A727" s="748" t="s">
        <v>725</v>
      </c>
      <c r="B727" s="666" t="s">
        <v>731</v>
      </c>
      <c r="C727" s="667">
        <f>9690-380</f>
        <v>9310</v>
      </c>
      <c r="D727" s="668">
        <f t="shared" si="36"/>
        <v>9310</v>
      </c>
      <c r="F727" s="9"/>
      <c r="I727"/>
    </row>
    <row r="728" spans="1:9" ht="18">
      <c r="A728" s="748" t="s">
        <v>729</v>
      </c>
      <c r="B728" s="666" t="s">
        <v>732</v>
      </c>
      <c r="C728" s="667">
        <f>6660-260</f>
        <v>6400</v>
      </c>
      <c r="D728" s="668">
        <f t="shared" si="36"/>
        <v>6400</v>
      </c>
      <c r="F728" s="9"/>
      <c r="I728"/>
    </row>
    <row r="729" spans="1:9" ht="18">
      <c r="A729" s="748" t="s">
        <v>733</v>
      </c>
      <c r="B729" s="666" t="s">
        <v>735</v>
      </c>
      <c r="C729" s="667">
        <f>1090-40</f>
        <v>1050</v>
      </c>
      <c r="D729" s="668">
        <f t="shared" si="36"/>
        <v>1050</v>
      </c>
      <c r="F729" s="9"/>
      <c r="I729"/>
    </row>
    <row r="730" spans="1:9" ht="18">
      <c r="A730" s="748" t="s">
        <v>734</v>
      </c>
      <c r="B730" s="666" t="s">
        <v>736</v>
      </c>
      <c r="C730" s="667">
        <v>0</v>
      </c>
      <c r="D730" s="668">
        <f t="shared" si="36"/>
        <v>0</v>
      </c>
      <c r="F730" s="9"/>
      <c r="I730"/>
    </row>
    <row r="731" spans="1:9" ht="18">
      <c r="A731" s="669"/>
      <c r="B731" s="662" t="s">
        <v>638</v>
      </c>
      <c r="C731" s="668">
        <f>SUM(C717:C730)</f>
        <v>144810</v>
      </c>
      <c r="D731" s="668">
        <f>SUM(D717:D730)</f>
        <v>144810</v>
      </c>
      <c r="F731" s="9"/>
      <c r="I731"/>
    </row>
    <row r="732" spans="1:4" ht="18">
      <c r="A732" s="658"/>
      <c r="B732" s="658"/>
      <c r="C732" s="659" t="s">
        <v>363</v>
      </c>
      <c r="D732" s="658"/>
    </row>
    <row r="733" spans="1:4" ht="18">
      <c r="A733" s="758" t="str">
        <f>+A690</f>
        <v> </v>
      </c>
      <c r="B733" s="658"/>
      <c r="C733" s="658"/>
      <c r="D733" s="658"/>
    </row>
    <row r="734" spans="1:4" ht="18">
      <c r="A734" s="659"/>
      <c r="B734" s="779" t="s">
        <v>383</v>
      </c>
      <c r="C734" s="779"/>
      <c r="D734" s="658"/>
    </row>
    <row r="735" spans="1:4" ht="18">
      <c r="A735" s="659" t="str">
        <f>+A692</f>
        <v>Juris.:</v>
      </c>
      <c r="B735" s="779" t="s">
        <v>422</v>
      </c>
      <c r="C735" s="779"/>
      <c r="D735" s="658"/>
    </row>
    <row r="736" spans="1:4" ht="18">
      <c r="A736" s="659" t="s">
        <v>1012</v>
      </c>
      <c r="B736" s="660"/>
      <c r="C736" s="658"/>
      <c r="D736" s="658"/>
    </row>
    <row r="737" spans="1:4" ht="18">
      <c r="A737" s="658"/>
      <c r="B737" s="658"/>
      <c r="C737" s="658"/>
      <c r="D737" s="658"/>
    </row>
    <row r="738" spans="1:9" ht="18">
      <c r="A738" s="661" t="s">
        <v>621</v>
      </c>
      <c r="B738" s="662" t="s">
        <v>1001</v>
      </c>
      <c r="C738" s="661" t="s">
        <v>413</v>
      </c>
      <c r="D738" s="661" t="s">
        <v>49</v>
      </c>
      <c r="I738"/>
    </row>
    <row r="739" spans="1:9" ht="18">
      <c r="A739" s="661"/>
      <c r="B739" s="663"/>
      <c r="C739" s="661" t="s">
        <v>98</v>
      </c>
      <c r="D739" s="661" t="s">
        <v>638</v>
      </c>
      <c r="F739" s="565"/>
      <c r="I739"/>
    </row>
    <row r="740" spans="1:9" ht="18">
      <c r="A740" s="664" t="s">
        <v>1000</v>
      </c>
      <c r="B740" s="658"/>
      <c r="C740" s="658"/>
      <c r="D740" s="658"/>
      <c r="I740"/>
    </row>
    <row r="741" spans="1:9" ht="18">
      <c r="A741" s="665">
        <v>1</v>
      </c>
      <c r="B741" s="666" t="s">
        <v>834</v>
      </c>
      <c r="C741" s="667"/>
      <c r="D741" s="668">
        <f aca="true" t="shared" si="37" ref="D741:D760">SUM(C741:C741)</f>
        <v>0</v>
      </c>
      <c r="F741" s="9"/>
      <c r="I741"/>
    </row>
    <row r="742" spans="1:9" ht="18">
      <c r="A742" s="665">
        <v>2</v>
      </c>
      <c r="B742" s="666" t="s">
        <v>835</v>
      </c>
      <c r="C742" s="667"/>
      <c r="D742" s="668">
        <f t="shared" si="37"/>
        <v>0</v>
      </c>
      <c r="I742"/>
    </row>
    <row r="743" spans="1:9" ht="18">
      <c r="A743" s="665">
        <v>3</v>
      </c>
      <c r="B743" s="666" t="s">
        <v>836</v>
      </c>
      <c r="C743" s="667"/>
      <c r="D743" s="668">
        <f t="shared" si="37"/>
        <v>0</v>
      </c>
      <c r="I743"/>
    </row>
    <row r="744" spans="1:9" ht="18">
      <c r="A744" s="665">
        <v>4</v>
      </c>
      <c r="B744" s="666" t="s">
        <v>837</v>
      </c>
      <c r="C744" s="667">
        <v>2600</v>
      </c>
      <c r="D744" s="668">
        <f t="shared" si="37"/>
        <v>2600</v>
      </c>
      <c r="I744"/>
    </row>
    <row r="745" spans="1:9" ht="18">
      <c r="A745" s="665">
        <v>5</v>
      </c>
      <c r="B745" s="666" t="s">
        <v>838</v>
      </c>
      <c r="C745" s="667">
        <v>7600</v>
      </c>
      <c r="D745" s="668">
        <f t="shared" si="37"/>
        <v>7600</v>
      </c>
      <c r="I745"/>
    </row>
    <row r="746" spans="1:9" ht="18">
      <c r="A746" s="665">
        <v>6</v>
      </c>
      <c r="B746" s="666" t="s">
        <v>839</v>
      </c>
      <c r="C746" s="667"/>
      <c r="D746" s="668">
        <f t="shared" si="37"/>
        <v>0</v>
      </c>
      <c r="I746"/>
    </row>
    <row r="747" spans="1:9" ht="18">
      <c r="A747" s="665">
        <v>7</v>
      </c>
      <c r="B747" s="666" t="s">
        <v>840</v>
      </c>
      <c r="C747" s="667"/>
      <c r="D747" s="668">
        <f t="shared" si="37"/>
        <v>0</v>
      </c>
      <c r="I747"/>
    </row>
    <row r="748" spans="1:9" ht="18">
      <c r="A748" s="665">
        <v>8</v>
      </c>
      <c r="B748" s="666" t="s">
        <v>842</v>
      </c>
      <c r="C748" s="667"/>
      <c r="D748" s="668">
        <f t="shared" si="37"/>
        <v>0</v>
      </c>
      <c r="I748"/>
    </row>
    <row r="749" spans="1:9" ht="18">
      <c r="A749" s="665">
        <v>9</v>
      </c>
      <c r="B749" s="666" t="s">
        <v>843</v>
      </c>
      <c r="C749" s="667">
        <v>6300</v>
      </c>
      <c r="D749" s="668">
        <f t="shared" si="37"/>
        <v>6300</v>
      </c>
      <c r="I749"/>
    </row>
    <row r="750" spans="1:9" ht="18">
      <c r="A750" s="665">
        <v>10</v>
      </c>
      <c r="B750" s="666" t="s">
        <v>844</v>
      </c>
      <c r="C750" s="667"/>
      <c r="D750" s="668">
        <f t="shared" si="37"/>
        <v>0</v>
      </c>
      <c r="I750"/>
    </row>
    <row r="751" spans="1:9" ht="18">
      <c r="A751" s="665">
        <v>11</v>
      </c>
      <c r="B751" s="666" t="s">
        <v>845</v>
      </c>
      <c r="C751" s="667">
        <f>19050-1500-7000</f>
        <v>10550</v>
      </c>
      <c r="D751" s="668">
        <f t="shared" si="37"/>
        <v>10550</v>
      </c>
      <c r="I751"/>
    </row>
    <row r="752" spans="1:9" ht="18">
      <c r="A752" s="665">
        <v>12</v>
      </c>
      <c r="B752" s="666" t="s">
        <v>846</v>
      </c>
      <c r="C752" s="667"/>
      <c r="D752" s="668">
        <f t="shared" si="37"/>
        <v>0</v>
      </c>
      <c r="I752"/>
    </row>
    <row r="753" spans="1:9" ht="18">
      <c r="A753" s="665">
        <v>13</v>
      </c>
      <c r="B753" s="666" t="s">
        <v>847</v>
      </c>
      <c r="C753" s="667"/>
      <c r="D753" s="668">
        <f t="shared" si="37"/>
        <v>0</v>
      </c>
      <c r="I753"/>
    </row>
    <row r="754" spans="1:9" ht="18">
      <c r="A754" s="665">
        <v>14</v>
      </c>
      <c r="B754" s="666" t="s">
        <v>848</v>
      </c>
      <c r="C754" s="667"/>
      <c r="D754" s="668">
        <f t="shared" si="37"/>
        <v>0</v>
      </c>
      <c r="I754"/>
    </row>
    <row r="755" spans="1:9" ht="18">
      <c r="A755" s="665">
        <v>15</v>
      </c>
      <c r="B755" s="666" t="s">
        <v>849</v>
      </c>
      <c r="C755" s="667">
        <f>31000-10000-7000</f>
        <v>14000</v>
      </c>
      <c r="D755" s="668">
        <f t="shared" si="37"/>
        <v>14000</v>
      </c>
      <c r="I755"/>
    </row>
    <row r="756" spans="1:9" ht="18">
      <c r="A756" s="665">
        <v>16</v>
      </c>
      <c r="B756" s="666" t="s">
        <v>850</v>
      </c>
      <c r="C756" s="667"/>
      <c r="D756" s="668">
        <f t="shared" si="37"/>
        <v>0</v>
      </c>
      <c r="I756"/>
    </row>
    <row r="757" spans="1:9" ht="18">
      <c r="A757" s="665">
        <v>17</v>
      </c>
      <c r="B757" s="666" t="s">
        <v>851</v>
      </c>
      <c r="C757" s="667"/>
      <c r="D757" s="668">
        <f t="shared" si="37"/>
        <v>0</v>
      </c>
      <c r="I757"/>
    </row>
    <row r="758" spans="1:9" ht="18">
      <c r="A758" s="665">
        <v>18</v>
      </c>
      <c r="B758" s="666" t="s">
        <v>852</v>
      </c>
      <c r="C758" s="667"/>
      <c r="D758" s="668">
        <f t="shared" si="37"/>
        <v>0</v>
      </c>
      <c r="I758"/>
    </row>
    <row r="759" spans="1:9" ht="18">
      <c r="A759" s="665">
        <v>19</v>
      </c>
      <c r="B759" s="666" t="s">
        <v>853</v>
      </c>
      <c r="C759" s="667"/>
      <c r="D759" s="668">
        <f t="shared" si="37"/>
        <v>0</v>
      </c>
      <c r="I759"/>
    </row>
    <row r="760" spans="1:9" ht="18">
      <c r="A760" s="665" t="s">
        <v>909</v>
      </c>
      <c r="B760" s="666" t="s">
        <v>532</v>
      </c>
      <c r="C760" s="667">
        <v>8000</v>
      </c>
      <c r="D760" s="668">
        <f t="shared" si="37"/>
        <v>8000</v>
      </c>
      <c r="I760"/>
    </row>
    <row r="761" spans="1:9" ht="18">
      <c r="A761" s="669"/>
      <c r="B761" s="662" t="s">
        <v>638</v>
      </c>
      <c r="C761" s="668">
        <f>SUM(C741:C760)</f>
        <v>49050</v>
      </c>
      <c r="D761" s="668">
        <f>SUM(D741:D760)</f>
        <v>49050</v>
      </c>
      <c r="F761" s="9"/>
      <c r="I761"/>
    </row>
    <row r="762" spans="1:9" ht="18">
      <c r="A762" s="658"/>
      <c r="B762" s="658"/>
      <c r="C762" s="658"/>
      <c r="D762" s="658"/>
      <c r="I762"/>
    </row>
    <row r="763" spans="1:9" ht="18">
      <c r="A763" s="661" t="s">
        <v>621</v>
      </c>
      <c r="B763" s="662" t="s">
        <v>990</v>
      </c>
      <c r="C763" s="661" t="s">
        <v>413</v>
      </c>
      <c r="D763" s="661" t="s">
        <v>49</v>
      </c>
      <c r="I763"/>
    </row>
    <row r="764" spans="1:9" ht="18">
      <c r="A764" s="661"/>
      <c r="B764" s="663"/>
      <c r="C764" s="661" t="s">
        <v>98</v>
      </c>
      <c r="D764" s="661" t="s">
        <v>638</v>
      </c>
      <c r="I764"/>
    </row>
    <row r="765" spans="1:9" ht="18">
      <c r="A765" s="664" t="s">
        <v>1002</v>
      </c>
      <c r="B765" s="658"/>
      <c r="C765" s="658"/>
      <c r="D765" s="658"/>
      <c r="I765"/>
    </row>
    <row r="766" spans="1:9" ht="18">
      <c r="A766" s="665">
        <v>1</v>
      </c>
      <c r="B766" s="666" t="s">
        <v>854</v>
      </c>
      <c r="C766" s="667"/>
      <c r="D766" s="668">
        <f aca="true" t="shared" si="38" ref="D766:D787">SUM(C766:C766)</f>
        <v>0</v>
      </c>
      <c r="I766"/>
    </row>
    <row r="767" spans="1:9" ht="18">
      <c r="A767" s="665">
        <v>2</v>
      </c>
      <c r="B767" s="666" t="s">
        <v>855</v>
      </c>
      <c r="C767" s="667"/>
      <c r="D767" s="668">
        <f t="shared" si="38"/>
        <v>0</v>
      </c>
      <c r="I767"/>
    </row>
    <row r="768" spans="1:9" ht="18">
      <c r="A768" s="665">
        <v>3</v>
      </c>
      <c r="B768" s="666" t="s">
        <v>856</v>
      </c>
      <c r="C768" s="667"/>
      <c r="D768" s="668">
        <f t="shared" si="38"/>
        <v>0</v>
      </c>
      <c r="I768"/>
    </row>
    <row r="769" spans="1:9" ht="18">
      <c r="A769" s="665">
        <v>4</v>
      </c>
      <c r="B769" s="666" t="s">
        <v>857</v>
      </c>
      <c r="C769" s="667"/>
      <c r="D769" s="668">
        <f t="shared" si="38"/>
        <v>0</v>
      </c>
      <c r="I769"/>
    </row>
    <row r="770" spans="1:9" ht="18">
      <c r="A770" s="665">
        <v>5</v>
      </c>
      <c r="B770" s="666" t="s">
        <v>858</v>
      </c>
      <c r="C770" s="667"/>
      <c r="D770" s="668">
        <f t="shared" si="38"/>
        <v>0</v>
      </c>
      <c r="I770"/>
    </row>
    <row r="771" spans="1:9" ht="18">
      <c r="A771" s="665">
        <v>6</v>
      </c>
      <c r="B771" s="666" t="s">
        <v>859</v>
      </c>
      <c r="C771" s="667"/>
      <c r="D771" s="668">
        <f t="shared" si="38"/>
        <v>0</v>
      </c>
      <c r="I771"/>
    </row>
    <row r="772" spans="1:9" ht="18">
      <c r="A772" s="665">
        <v>7</v>
      </c>
      <c r="B772" s="666" t="s">
        <v>860</v>
      </c>
      <c r="C772" s="667">
        <f>902000-130000-58000</f>
        <v>714000</v>
      </c>
      <c r="D772" s="668">
        <f t="shared" si="38"/>
        <v>714000</v>
      </c>
      <c r="F772" s="9"/>
      <c r="I772"/>
    </row>
    <row r="773" spans="1:9" ht="18">
      <c r="A773" s="665">
        <v>8</v>
      </c>
      <c r="B773" s="666" t="s">
        <v>861</v>
      </c>
      <c r="C773" s="667"/>
      <c r="D773" s="668">
        <f t="shared" si="38"/>
        <v>0</v>
      </c>
      <c r="I773"/>
    </row>
    <row r="774" spans="1:9" ht="18">
      <c r="A774" s="665">
        <v>9</v>
      </c>
      <c r="B774" s="666" t="s">
        <v>862</v>
      </c>
      <c r="C774" s="667"/>
      <c r="D774" s="668">
        <f t="shared" si="38"/>
        <v>0</v>
      </c>
      <c r="I774"/>
    </row>
    <row r="775" spans="1:9" ht="18">
      <c r="A775" s="665">
        <v>10</v>
      </c>
      <c r="B775" s="666" t="s">
        <v>863</v>
      </c>
      <c r="C775" s="667"/>
      <c r="D775" s="668">
        <f t="shared" si="38"/>
        <v>0</v>
      </c>
      <c r="I775"/>
    </row>
    <row r="776" spans="1:9" ht="18">
      <c r="A776" s="665">
        <v>11</v>
      </c>
      <c r="B776" s="666" t="s">
        <v>864</v>
      </c>
      <c r="C776" s="667"/>
      <c r="D776" s="668">
        <f t="shared" si="38"/>
        <v>0</v>
      </c>
      <c r="I776"/>
    </row>
    <row r="777" spans="1:9" ht="18">
      <c r="A777" s="665">
        <v>12</v>
      </c>
      <c r="B777" s="666" t="s">
        <v>865</v>
      </c>
      <c r="C777" s="667"/>
      <c r="D777" s="668">
        <f t="shared" si="38"/>
        <v>0</v>
      </c>
      <c r="I777"/>
    </row>
    <row r="778" spans="1:9" ht="18">
      <c r="A778" s="665">
        <v>13</v>
      </c>
      <c r="B778" s="666" t="s">
        <v>866</v>
      </c>
      <c r="C778" s="667"/>
      <c r="D778" s="668">
        <f t="shared" si="38"/>
        <v>0</v>
      </c>
      <c r="I778"/>
    </row>
    <row r="779" spans="1:9" ht="18">
      <c r="A779" s="665">
        <v>14</v>
      </c>
      <c r="B779" s="666" t="s">
        <v>867</v>
      </c>
      <c r="C779" s="667"/>
      <c r="D779" s="668">
        <f t="shared" si="38"/>
        <v>0</v>
      </c>
      <c r="I779"/>
    </row>
    <row r="780" spans="1:9" ht="18">
      <c r="A780" s="665">
        <v>15</v>
      </c>
      <c r="B780" s="666" t="s">
        <v>868</v>
      </c>
      <c r="C780" s="667"/>
      <c r="D780" s="668">
        <f t="shared" si="38"/>
        <v>0</v>
      </c>
      <c r="I780"/>
    </row>
    <row r="781" spans="1:9" ht="18">
      <c r="A781" s="665">
        <v>16</v>
      </c>
      <c r="B781" s="666" t="s">
        <v>869</v>
      </c>
      <c r="C781" s="667"/>
      <c r="D781" s="668">
        <f t="shared" si="38"/>
        <v>0</v>
      </c>
      <c r="I781"/>
    </row>
    <row r="782" spans="1:9" ht="18">
      <c r="A782" s="665">
        <v>17</v>
      </c>
      <c r="B782" s="666" t="s">
        <v>870</v>
      </c>
      <c r="C782" s="667"/>
      <c r="D782" s="668">
        <f t="shared" si="38"/>
        <v>0</v>
      </c>
      <c r="I782"/>
    </row>
    <row r="783" spans="1:9" ht="18">
      <c r="A783" s="665">
        <v>18</v>
      </c>
      <c r="B783" s="666" t="s">
        <v>871</v>
      </c>
      <c r="C783" s="667"/>
      <c r="D783" s="668">
        <f t="shared" si="38"/>
        <v>0</v>
      </c>
      <c r="I783"/>
    </row>
    <row r="784" spans="1:9" ht="18">
      <c r="A784" s="665">
        <v>19</v>
      </c>
      <c r="B784" s="666" t="s">
        <v>872</v>
      </c>
      <c r="C784" s="667"/>
      <c r="D784" s="668">
        <f t="shared" si="38"/>
        <v>0</v>
      </c>
      <c r="I784"/>
    </row>
    <row r="785" spans="1:9" ht="18">
      <c r="A785" s="665">
        <v>20</v>
      </c>
      <c r="B785" s="666" t="s">
        <v>873</v>
      </c>
      <c r="C785" s="667"/>
      <c r="D785" s="668">
        <f t="shared" si="38"/>
        <v>0</v>
      </c>
      <c r="I785"/>
    </row>
    <row r="786" spans="1:9" ht="18">
      <c r="A786" s="665">
        <v>21</v>
      </c>
      <c r="B786" s="666" t="s">
        <v>874</v>
      </c>
      <c r="C786" s="667">
        <f>15000-2400</f>
        <v>12600</v>
      </c>
      <c r="D786" s="668">
        <f t="shared" si="38"/>
        <v>12600</v>
      </c>
      <c r="F786" s="9"/>
      <c r="I786"/>
    </row>
    <row r="787" spans="1:9" ht="18">
      <c r="A787" s="665" t="s">
        <v>106</v>
      </c>
      <c r="B787" s="666" t="s">
        <v>117</v>
      </c>
      <c r="C787" s="667">
        <f>15000+5000-3200</f>
        <v>16800</v>
      </c>
      <c r="D787" s="668">
        <f t="shared" si="38"/>
        <v>16800</v>
      </c>
      <c r="F787" s="9"/>
      <c r="I787"/>
    </row>
    <row r="788" spans="1:9" ht="18">
      <c r="A788" s="669"/>
      <c r="B788" s="662" t="s">
        <v>638</v>
      </c>
      <c r="C788" s="668">
        <f>SUM(C766:C787)</f>
        <v>743400</v>
      </c>
      <c r="D788" s="668">
        <f>SUM(D766:D787)</f>
        <v>743400</v>
      </c>
      <c r="I788"/>
    </row>
    <row r="789" spans="1:4" ht="18">
      <c r="A789" s="658"/>
      <c r="B789" s="658"/>
      <c r="C789" s="658"/>
      <c r="D789" s="658"/>
    </row>
    <row r="790" spans="1:9" ht="18">
      <c r="A790" s="661" t="s">
        <v>621</v>
      </c>
      <c r="B790" s="662" t="s">
        <v>1016</v>
      </c>
      <c r="C790" s="661" t="s">
        <v>413</v>
      </c>
      <c r="D790" s="661" t="s">
        <v>49</v>
      </c>
      <c r="I790"/>
    </row>
    <row r="791" spans="1:9" ht="18">
      <c r="A791" s="661"/>
      <c r="B791" s="663"/>
      <c r="C791" s="661" t="s">
        <v>98</v>
      </c>
      <c r="D791" s="661" t="s">
        <v>638</v>
      </c>
      <c r="I791"/>
    </row>
    <row r="792" spans="1:9" ht="18">
      <c r="A792" s="664" t="s">
        <v>1003</v>
      </c>
      <c r="B792" s="658"/>
      <c r="C792" s="658"/>
      <c r="D792" s="658"/>
      <c r="I792"/>
    </row>
    <row r="793" spans="1:9" ht="18">
      <c r="A793" s="665">
        <v>1</v>
      </c>
      <c r="B793" s="666" t="s">
        <v>875</v>
      </c>
      <c r="C793" s="667"/>
      <c r="D793" s="668">
        <f>+C793</f>
        <v>0</v>
      </c>
      <c r="I793"/>
    </row>
    <row r="794" spans="1:9" ht="18">
      <c r="A794" s="665">
        <v>2</v>
      </c>
      <c r="B794" s="666" t="s">
        <v>876</v>
      </c>
      <c r="C794" s="667"/>
      <c r="D794" s="668">
        <f aca="true" t="shared" si="39" ref="D794:D803">+C794</f>
        <v>0</v>
      </c>
      <c r="I794"/>
    </row>
    <row r="795" spans="1:9" ht="18">
      <c r="A795" s="665">
        <v>3</v>
      </c>
      <c r="B795" s="666" t="s">
        <v>877</v>
      </c>
      <c r="C795" s="667"/>
      <c r="D795" s="668">
        <f t="shared" si="39"/>
        <v>0</v>
      </c>
      <c r="I795"/>
    </row>
    <row r="796" spans="1:9" ht="18">
      <c r="A796" s="665">
        <v>4</v>
      </c>
      <c r="B796" s="666" t="s">
        <v>878</v>
      </c>
      <c r="C796" s="667">
        <f>34500-6640-6000</f>
        <v>21860</v>
      </c>
      <c r="D796" s="668">
        <f t="shared" si="39"/>
        <v>21860</v>
      </c>
      <c r="F796" s="9"/>
      <c r="I796"/>
    </row>
    <row r="797" spans="1:9" ht="18">
      <c r="A797" s="665">
        <v>5</v>
      </c>
      <c r="B797" s="666" t="s">
        <v>879</v>
      </c>
      <c r="C797" s="667"/>
      <c r="D797" s="668">
        <f t="shared" si="39"/>
        <v>0</v>
      </c>
      <c r="I797"/>
    </row>
    <row r="798" spans="1:9" ht="18">
      <c r="A798" s="665">
        <v>6</v>
      </c>
      <c r="B798" s="666" t="s">
        <v>880</v>
      </c>
      <c r="C798" s="667">
        <v>4500</v>
      </c>
      <c r="D798" s="668">
        <f t="shared" si="39"/>
        <v>4500</v>
      </c>
      <c r="I798"/>
    </row>
    <row r="799" spans="1:9" ht="18">
      <c r="A799" s="665">
        <v>7</v>
      </c>
      <c r="B799" s="666" t="s">
        <v>893</v>
      </c>
      <c r="C799" s="667"/>
      <c r="D799" s="668">
        <f t="shared" si="39"/>
        <v>0</v>
      </c>
      <c r="I799"/>
    </row>
    <row r="800" spans="1:9" ht="18">
      <c r="A800" s="665">
        <v>8</v>
      </c>
      <c r="B800" s="666" t="s">
        <v>894</v>
      </c>
      <c r="C800" s="667">
        <v>2500</v>
      </c>
      <c r="D800" s="668">
        <f t="shared" si="39"/>
        <v>2500</v>
      </c>
      <c r="I800"/>
    </row>
    <row r="801" spans="1:9" ht="18">
      <c r="A801" s="665">
        <v>9</v>
      </c>
      <c r="B801" s="666" t="s">
        <v>897</v>
      </c>
      <c r="C801" s="667"/>
      <c r="D801" s="668">
        <f t="shared" si="39"/>
        <v>0</v>
      </c>
      <c r="I801"/>
    </row>
    <row r="802" spans="1:9" ht="18">
      <c r="A802" s="665">
        <v>10</v>
      </c>
      <c r="B802" s="666" t="s">
        <v>895</v>
      </c>
      <c r="C802" s="667"/>
      <c r="D802" s="668">
        <f t="shared" si="39"/>
        <v>0</v>
      </c>
      <c r="I802"/>
    </row>
    <row r="803" spans="1:9" ht="18">
      <c r="A803" s="665" t="s">
        <v>911</v>
      </c>
      <c r="B803" s="666" t="s">
        <v>387</v>
      </c>
      <c r="C803" s="667"/>
      <c r="D803" s="668">
        <f t="shared" si="39"/>
        <v>0</v>
      </c>
      <c r="I803"/>
    </row>
    <row r="804" spans="1:9" ht="18">
      <c r="A804" s="669"/>
      <c r="B804" s="662" t="s">
        <v>638</v>
      </c>
      <c r="C804" s="668">
        <f>SUM(C793:C803)</f>
        <v>28860</v>
      </c>
      <c r="D804" s="668">
        <f>SUM(D793:D803)</f>
        <v>28860</v>
      </c>
      <c r="F804" s="9"/>
      <c r="I804"/>
    </row>
  </sheetData>
  <sheetProtection/>
  <mergeCells count="26">
    <mergeCell ref="B735:C735"/>
    <mergeCell ref="B462:C462"/>
    <mergeCell ref="B577:C577"/>
    <mergeCell ref="A576:F576"/>
    <mergeCell ref="A619:F619"/>
    <mergeCell ref="B620:C620"/>
    <mergeCell ref="A504:D504"/>
    <mergeCell ref="B691:C691"/>
    <mergeCell ref="B734:C734"/>
    <mergeCell ref="B118:C118"/>
    <mergeCell ref="A159:G159"/>
    <mergeCell ref="B160:C160"/>
    <mergeCell ref="B232:C232"/>
    <mergeCell ref="A2:E2"/>
    <mergeCell ref="A45:E45"/>
    <mergeCell ref="A117:G117"/>
    <mergeCell ref="B46:D46"/>
    <mergeCell ref="B3:D3"/>
    <mergeCell ref="A461:D461"/>
    <mergeCell ref="B505:C505"/>
    <mergeCell ref="B692:C692"/>
    <mergeCell ref="B390:C390"/>
    <mergeCell ref="B275:C275"/>
    <mergeCell ref="A346:G346"/>
    <mergeCell ref="A389:G389"/>
    <mergeCell ref="B347:C347"/>
  </mergeCells>
  <printOptions horizontalCentered="1"/>
  <pageMargins left="0.7874015748031497" right="0.1968503937007874" top="0.43" bottom="0.3937007874015748" header="0.1968503937007874" footer="0.1968503937007874"/>
  <pageSetup horizontalDpi="600" verticalDpi="600" orientation="portrait" paperSize="9" scale="59" r:id="rId1"/>
  <rowBreaks count="13" manualBreakCount="13">
    <brk id="42" max="11" man="1"/>
    <brk id="115" max="11" man="1"/>
    <brk id="157" max="11" man="1"/>
    <brk id="228" max="11" man="1"/>
    <brk id="271" max="11" man="1"/>
    <brk id="343" max="255" man="1"/>
    <brk id="386" max="255" man="1"/>
    <brk id="458" max="255" man="1"/>
    <brk id="501" max="255" man="1"/>
    <brk id="573" max="255" man="1"/>
    <brk id="616" max="255" man="1"/>
    <brk id="688" max="255" man="1"/>
    <brk id="731" max="255" man="1"/>
  </rowBreaks>
  <colBreaks count="1" manualBreakCount="1">
    <brk id="9" max="80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D29"/>
  <sheetViews>
    <sheetView zoomScale="75" zoomScaleNormal="75" zoomScalePageLayoutView="0" workbookViewId="0" topLeftCell="A4">
      <selection activeCell="D31" sqref="D31"/>
    </sheetView>
  </sheetViews>
  <sheetFormatPr defaultColWidth="11.421875" defaultRowHeight="12.75"/>
  <cols>
    <col min="1" max="1" width="37.8515625" style="0" customWidth="1"/>
    <col min="2" max="2" width="13.00390625" style="0" customWidth="1"/>
    <col min="3" max="3" width="20.421875" style="0" bestFit="1" customWidth="1"/>
    <col min="4" max="4" width="18.28125" style="0" customWidth="1"/>
  </cols>
  <sheetData>
    <row r="1" spans="1:4" ht="12.75">
      <c r="A1" s="54">
        <f>+'SER.ESPEC.'!A1</f>
        <v>0</v>
      </c>
      <c r="B1" s="48"/>
      <c r="C1" s="48"/>
      <c r="D1" s="48"/>
    </row>
    <row r="2" spans="1:4" ht="15">
      <c r="A2" s="761" t="s">
        <v>382</v>
      </c>
      <c r="B2" s="761"/>
      <c r="C2" s="761"/>
      <c r="D2" s="761"/>
    </row>
    <row r="3" spans="1:4" ht="12.75">
      <c r="A3" s="48"/>
      <c r="B3" s="48"/>
      <c r="C3" s="48"/>
      <c r="D3" s="48"/>
    </row>
    <row r="4" spans="1:4" ht="12.75">
      <c r="A4" s="764" t="s">
        <v>636</v>
      </c>
      <c r="B4" s="764"/>
      <c r="C4" s="764"/>
      <c r="D4" s="764"/>
    </row>
    <row r="5" spans="1:4" ht="12.75">
      <c r="A5" s="764" t="s">
        <v>761</v>
      </c>
      <c r="B5" s="764"/>
      <c r="C5" s="764"/>
      <c r="D5" s="764"/>
    </row>
    <row r="6" spans="1:4" ht="13.5" thickBot="1">
      <c r="A6" s="48"/>
      <c r="B6" s="48"/>
      <c r="C6" s="48"/>
      <c r="D6" s="48"/>
    </row>
    <row r="7" spans="1:4" ht="13.5" thickBot="1">
      <c r="A7" s="178" t="s">
        <v>536</v>
      </c>
      <c r="B7" s="242" t="s">
        <v>638</v>
      </c>
      <c r="C7" s="179" t="s">
        <v>987</v>
      </c>
      <c r="D7" s="179" t="s">
        <v>762</v>
      </c>
    </row>
    <row r="8" spans="1:4" s="14" customFormat="1" ht="13.5" thickBot="1">
      <c r="A8" s="35"/>
      <c r="B8" s="36"/>
      <c r="C8" s="36">
        <v>761</v>
      </c>
      <c r="D8" s="36">
        <v>781</v>
      </c>
    </row>
    <row r="9" spans="1:4" ht="13.5" thickBot="1">
      <c r="A9" s="299" t="s">
        <v>539</v>
      </c>
      <c r="B9" s="184">
        <f>+SUM(B11:B14)</f>
        <v>1736470</v>
      </c>
      <c r="C9" s="186">
        <f>+SUM(C11:C14)</f>
        <v>1548200</v>
      </c>
      <c r="D9" s="186">
        <f>+SUM(D11:D14)</f>
        <v>188270</v>
      </c>
    </row>
    <row r="10" spans="1:4" ht="12.75">
      <c r="A10" s="78"/>
      <c r="B10" s="310"/>
      <c r="C10" s="275"/>
      <c r="D10" s="275"/>
    </row>
    <row r="11" spans="1:4" ht="12.75">
      <c r="A11" s="78" t="s">
        <v>644</v>
      </c>
      <c r="B11" s="311">
        <f>+SUM(C11:D11)</f>
        <v>1144610</v>
      </c>
      <c r="C11" s="263">
        <f>+'SER.ESPEC.'!G8</f>
        <v>1090730</v>
      </c>
      <c r="D11" s="263">
        <f>+'SER.ESPEC.'!G36</f>
        <v>53880</v>
      </c>
    </row>
    <row r="12" spans="1:4" ht="12.75">
      <c r="A12" s="78" t="s">
        <v>645</v>
      </c>
      <c r="B12" s="311">
        <f>+SUM(C12:D12)</f>
        <v>212820</v>
      </c>
      <c r="C12" s="263">
        <f>+'SER.ESPEC.'!G11</f>
        <v>171270</v>
      </c>
      <c r="D12" s="263">
        <f>+'SER.ESPEC.'!G39</f>
        <v>41550</v>
      </c>
    </row>
    <row r="13" spans="1:4" ht="12.75">
      <c r="A13" s="78" t="s">
        <v>646</v>
      </c>
      <c r="B13" s="311">
        <f>+SUM(C13:D13)</f>
        <v>379040</v>
      </c>
      <c r="C13" s="263">
        <f>+'SER.ESPEC.'!G12</f>
        <v>286200</v>
      </c>
      <c r="D13" s="263">
        <f>+'SER.ESPEC.'!G40</f>
        <v>92840</v>
      </c>
    </row>
    <row r="14" spans="1:4" ht="12.75">
      <c r="A14" s="78" t="s">
        <v>648</v>
      </c>
      <c r="B14" s="311">
        <f>+SUM(C14:D14)</f>
        <v>0</v>
      </c>
      <c r="C14" s="263"/>
      <c r="D14" s="263"/>
    </row>
    <row r="15" spans="1:4" ht="13.5" thickBot="1">
      <c r="A15" s="78"/>
      <c r="B15" s="312"/>
      <c r="C15" s="274"/>
      <c r="D15" s="274"/>
    </row>
    <row r="16" spans="1:4" ht="13.5" thickBot="1">
      <c r="A16" s="299" t="s">
        <v>548</v>
      </c>
      <c r="B16" s="184">
        <f>+SUM(B18:B18)</f>
        <v>69840</v>
      </c>
      <c r="C16" s="186">
        <f>+SUM(C18:C18)</f>
        <v>41400</v>
      </c>
      <c r="D16" s="186">
        <f>+SUM(D18:D18)</f>
        <v>28440</v>
      </c>
    </row>
    <row r="17" spans="1:4" ht="12.75">
      <c r="A17" s="78"/>
      <c r="B17" s="310"/>
      <c r="C17" s="275"/>
      <c r="D17" s="275"/>
    </row>
    <row r="18" spans="1:4" ht="12.75">
      <c r="A18" s="78" t="s">
        <v>649</v>
      </c>
      <c r="B18" s="311">
        <f>+SUM(C18:D18)</f>
        <v>69840</v>
      </c>
      <c r="C18" s="263">
        <f>+'SER.ESPEC.'!G19</f>
        <v>41400</v>
      </c>
      <c r="D18" s="263">
        <f>+'SER.ESPEC.'!G47</f>
        <v>28440</v>
      </c>
    </row>
    <row r="19" spans="1:4" ht="13.5" thickBot="1">
      <c r="A19" s="78"/>
      <c r="B19" s="312"/>
      <c r="C19" s="274"/>
      <c r="D19" s="274"/>
    </row>
    <row r="20" spans="1:4" ht="13.5" thickBot="1">
      <c r="A20" s="299" t="s">
        <v>553</v>
      </c>
      <c r="B20" s="184">
        <f>+SUM(B22:B22)</f>
        <v>0</v>
      </c>
      <c r="C20" s="186">
        <f>+SUM(C22:C22)</f>
        <v>0</v>
      </c>
      <c r="D20" s="186">
        <f>+SUM(D22:D22)</f>
        <v>0</v>
      </c>
    </row>
    <row r="21" spans="1:4" ht="12.75">
      <c r="A21" s="78"/>
      <c r="B21" s="310"/>
      <c r="C21" s="275"/>
      <c r="D21" s="275"/>
    </row>
    <row r="22" spans="1:4" ht="12.75">
      <c r="A22" s="78" t="s">
        <v>652</v>
      </c>
      <c r="B22" s="313">
        <f>+SUM(C22:D22)</f>
        <v>0</v>
      </c>
      <c r="C22" s="309"/>
      <c r="D22" s="309"/>
    </row>
    <row r="23" spans="1:4" ht="13.5" thickBot="1">
      <c r="A23" s="78"/>
      <c r="B23" s="257"/>
      <c r="C23" s="171"/>
      <c r="D23" s="171"/>
    </row>
    <row r="24" spans="1:4" ht="13.5" thickBot="1">
      <c r="A24" s="273" t="s">
        <v>561</v>
      </c>
      <c r="B24" s="184">
        <f>+B9+B16+B20</f>
        <v>1806310</v>
      </c>
      <c r="C24" s="184">
        <f>+C9+C16+C20</f>
        <v>1589600</v>
      </c>
      <c r="D24" s="184">
        <f>+D9+D16+D20</f>
        <v>216710</v>
      </c>
    </row>
    <row r="27" spans="2:4" ht="12.75">
      <c r="B27" s="3"/>
      <c r="C27" s="3"/>
      <c r="D27" s="3"/>
    </row>
    <row r="28" spans="1:4" ht="12.75">
      <c r="A28" s="8"/>
      <c r="B28" s="4"/>
      <c r="C28" s="4"/>
      <c r="D28" s="4"/>
    </row>
    <row r="29" spans="2:4" ht="12.75">
      <c r="B29" s="5"/>
      <c r="C29" s="5"/>
      <c r="D29" s="5"/>
    </row>
  </sheetData>
  <sheetProtection/>
  <mergeCells count="3">
    <mergeCell ref="A2:D2"/>
    <mergeCell ref="A4:D4"/>
    <mergeCell ref="A5:D5"/>
  </mergeCells>
  <printOptions horizontalCentered="1"/>
  <pageMargins left="0.1968503937007874" right="0.1968503937007874" top="0.5905511811023623" bottom="0.3937007874015748" header="0.1968503937007874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5"/>
  <sheetViews>
    <sheetView zoomScale="75" zoomScaleNormal="75" zoomScaleSheetLayoutView="75" zoomScalePageLayoutView="0" workbookViewId="0" topLeftCell="A28">
      <selection activeCell="G7" sqref="G7"/>
    </sheetView>
  </sheetViews>
  <sheetFormatPr defaultColWidth="11.421875" defaultRowHeight="12.75"/>
  <cols>
    <col min="1" max="1" width="7.28125" style="48" customWidth="1"/>
    <col min="2" max="2" width="5.8515625" style="48" bestFit="1" customWidth="1"/>
    <col min="3" max="3" width="7.57421875" style="48" bestFit="1" customWidth="1"/>
    <col min="4" max="4" width="8.28125" style="48" bestFit="1" customWidth="1"/>
    <col min="5" max="5" width="7.00390625" style="48" bestFit="1" customWidth="1"/>
    <col min="6" max="6" width="37.8515625" style="48" bestFit="1" customWidth="1"/>
    <col min="7" max="7" width="10.8515625" style="48" bestFit="1" customWidth="1"/>
  </cols>
  <sheetData>
    <row r="1" ht="12.75">
      <c r="A1" s="67">
        <f>+'Gob juris'!A1</f>
        <v>0</v>
      </c>
    </row>
    <row r="2" spans="1:7" ht="15">
      <c r="A2" s="761" t="s">
        <v>382</v>
      </c>
      <c r="B2" s="761"/>
      <c r="C2" s="761"/>
      <c r="D2" s="761"/>
      <c r="E2" s="761"/>
      <c r="F2" s="761"/>
      <c r="G2" s="761"/>
    </row>
    <row r="3" spans="1:7" ht="13.5" thickBot="1">
      <c r="A3" s="33" t="s">
        <v>699</v>
      </c>
      <c r="G3" s="14" t="s">
        <v>884</v>
      </c>
    </row>
    <row r="4" spans="1:7" ht="13.5" thickBot="1">
      <c r="A4" s="771" t="s">
        <v>621</v>
      </c>
      <c r="B4" s="772"/>
      <c r="C4" s="772"/>
      <c r="D4" s="772"/>
      <c r="E4" s="772"/>
      <c r="F4" s="293" t="s">
        <v>657</v>
      </c>
      <c r="G4" s="293" t="s">
        <v>658</v>
      </c>
    </row>
    <row r="5" spans="1:7" ht="13.5" thickBot="1">
      <c r="A5" s="242" t="s">
        <v>659</v>
      </c>
      <c r="B5" s="242" t="s">
        <v>660</v>
      </c>
      <c r="C5" s="242" t="s">
        <v>661</v>
      </c>
      <c r="D5" s="242" t="s">
        <v>625</v>
      </c>
      <c r="E5" s="292" t="s">
        <v>662</v>
      </c>
      <c r="F5" s="294" t="s">
        <v>663</v>
      </c>
      <c r="G5" s="294"/>
    </row>
    <row r="6" spans="1:7" ht="12.75">
      <c r="A6" s="187">
        <v>4</v>
      </c>
      <c r="B6" s="188"/>
      <c r="C6" s="188"/>
      <c r="D6" s="188"/>
      <c r="E6" s="209"/>
      <c r="F6" s="210" t="s">
        <v>539</v>
      </c>
      <c r="G6" s="212">
        <f>+G7+G13+G15</f>
        <v>1548200</v>
      </c>
    </row>
    <row r="7" spans="1:7" ht="12.75">
      <c r="A7" s="196">
        <v>4</v>
      </c>
      <c r="B7" s="193">
        <v>1</v>
      </c>
      <c r="C7" s="193"/>
      <c r="D7" s="193"/>
      <c r="E7" s="197"/>
      <c r="F7" s="198" t="s">
        <v>664</v>
      </c>
      <c r="G7" s="199">
        <f>+G8+G11+G12</f>
        <v>1548200</v>
      </c>
    </row>
    <row r="8" spans="1:7" ht="12.75">
      <c r="A8" s="196">
        <v>4</v>
      </c>
      <c r="B8" s="193">
        <v>1</v>
      </c>
      <c r="C8" s="193">
        <v>1</v>
      </c>
      <c r="D8" s="193"/>
      <c r="E8" s="197"/>
      <c r="F8" s="198" t="s">
        <v>644</v>
      </c>
      <c r="G8" s="199">
        <f>+G9+G10</f>
        <v>1090730</v>
      </c>
    </row>
    <row r="9" spans="1:7" ht="12.75">
      <c r="A9" s="196">
        <v>4</v>
      </c>
      <c r="B9" s="193">
        <v>1</v>
      </c>
      <c r="C9" s="193">
        <v>1</v>
      </c>
      <c r="D9" s="193">
        <v>1</v>
      </c>
      <c r="E9" s="197"/>
      <c r="F9" s="198" t="s">
        <v>665</v>
      </c>
      <c r="G9" s="199">
        <f>+ANEXO3!G6</f>
        <v>1090730</v>
      </c>
    </row>
    <row r="10" spans="1:7" ht="12.75">
      <c r="A10" s="196">
        <v>4</v>
      </c>
      <c r="B10" s="193">
        <v>1</v>
      </c>
      <c r="C10" s="193">
        <v>1</v>
      </c>
      <c r="D10" s="193">
        <v>2</v>
      </c>
      <c r="E10" s="197"/>
      <c r="F10" s="198" t="s">
        <v>682</v>
      </c>
      <c r="G10" s="199">
        <f>+ANEXO3!G21</f>
        <v>0</v>
      </c>
    </row>
    <row r="11" spans="1:7" ht="12.75">
      <c r="A11" s="196">
        <v>4</v>
      </c>
      <c r="B11" s="193">
        <v>1</v>
      </c>
      <c r="C11" s="193">
        <v>2</v>
      </c>
      <c r="D11" s="193"/>
      <c r="E11" s="197"/>
      <c r="F11" s="198" t="s">
        <v>645</v>
      </c>
      <c r="G11" s="199">
        <f>+ANEXO3!G36</f>
        <v>171270</v>
      </c>
    </row>
    <row r="12" spans="1:7" ht="12.75">
      <c r="A12" s="196">
        <v>4</v>
      </c>
      <c r="B12" s="193">
        <v>1</v>
      </c>
      <c r="C12" s="193">
        <v>3</v>
      </c>
      <c r="D12" s="193"/>
      <c r="E12" s="197"/>
      <c r="F12" s="198" t="s">
        <v>646</v>
      </c>
      <c r="G12" s="199">
        <f>+ANEXO3!G56</f>
        <v>286200</v>
      </c>
    </row>
    <row r="13" spans="1:7" ht="12.75">
      <c r="A13" s="196">
        <v>4</v>
      </c>
      <c r="B13" s="193">
        <v>2</v>
      </c>
      <c r="C13" s="193"/>
      <c r="D13" s="193"/>
      <c r="E13" s="197"/>
      <c r="F13" s="198" t="s">
        <v>683</v>
      </c>
      <c r="G13" s="199">
        <f>+G14</f>
        <v>0</v>
      </c>
    </row>
    <row r="14" spans="1:7" ht="12.75">
      <c r="A14" s="196">
        <v>4</v>
      </c>
      <c r="B14" s="193">
        <v>2</v>
      </c>
      <c r="C14" s="193">
        <v>1</v>
      </c>
      <c r="D14" s="193"/>
      <c r="E14" s="197"/>
      <c r="F14" s="198" t="s">
        <v>684</v>
      </c>
      <c r="G14" s="201"/>
    </row>
    <row r="15" spans="1:7" ht="12.75">
      <c r="A15" s="196">
        <v>4</v>
      </c>
      <c r="B15" s="193">
        <v>3</v>
      </c>
      <c r="C15" s="193"/>
      <c r="D15" s="193"/>
      <c r="E15" s="197"/>
      <c r="F15" s="198" t="s">
        <v>685</v>
      </c>
      <c r="G15" s="199">
        <f>+G16</f>
        <v>0</v>
      </c>
    </row>
    <row r="16" spans="1:7" ht="12.75">
      <c r="A16" s="196">
        <v>4</v>
      </c>
      <c r="B16" s="193">
        <v>3</v>
      </c>
      <c r="C16" s="193">
        <v>1</v>
      </c>
      <c r="D16" s="193"/>
      <c r="E16" s="197"/>
      <c r="F16" s="198" t="s">
        <v>648</v>
      </c>
      <c r="G16" s="201"/>
    </row>
    <row r="17" spans="1:7" ht="12.75">
      <c r="A17" s="191">
        <v>5</v>
      </c>
      <c r="B17" s="193"/>
      <c r="C17" s="193"/>
      <c r="D17" s="193"/>
      <c r="E17" s="197"/>
      <c r="F17" s="198" t="s">
        <v>548</v>
      </c>
      <c r="G17" s="199">
        <f>+G18+G21+G22</f>
        <v>41400</v>
      </c>
    </row>
    <row r="18" spans="1:7" ht="12.75">
      <c r="A18" s="196">
        <v>5</v>
      </c>
      <c r="B18" s="193">
        <v>1</v>
      </c>
      <c r="C18" s="193"/>
      <c r="D18" s="193"/>
      <c r="E18" s="197"/>
      <c r="F18" s="198" t="s">
        <v>686</v>
      </c>
      <c r="G18" s="199">
        <f>+G19+G20</f>
        <v>41400</v>
      </c>
    </row>
    <row r="19" spans="1:7" ht="12.75">
      <c r="A19" s="196">
        <v>5</v>
      </c>
      <c r="B19" s="193">
        <v>1</v>
      </c>
      <c r="C19" s="193">
        <v>1</v>
      </c>
      <c r="D19" s="193"/>
      <c r="E19" s="197"/>
      <c r="F19" s="198" t="s">
        <v>649</v>
      </c>
      <c r="G19" s="201">
        <f>+ANEXO3!G79</f>
        <v>41400</v>
      </c>
    </row>
    <row r="20" spans="1:7" ht="12.75">
      <c r="A20" s="196">
        <v>5</v>
      </c>
      <c r="B20" s="193">
        <v>1</v>
      </c>
      <c r="C20" s="193">
        <v>2</v>
      </c>
      <c r="D20" s="193"/>
      <c r="E20" s="193"/>
      <c r="F20" s="198" t="s">
        <v>650</v>
      </c>
      <c r="G20" s="201"/>
    </row>
    <row r="21" spans="1:7" ht="12.75">
      <c r="A21" s="196">
        <v>5</v>
      </c>
      <c r="B21" s="193">
        <v>2</v>
      </c>
      <c r="C21" s="193"/>
      <c r="D21" s="193"/>
      <c r="E21" s="193"/>
      <c r="F21" s="198" t="s">
        <v>687</v>
      </c>
      <c r="G21" s="199">
        <v>0</v>
      </c>
    </row>
    <row r="22" spans="1:7" ht="12.75">
      <c r="A22" s="196">
        <v>5</v>
      </c>
      <c r="B22" s="193">
        <v>3</v>
      </c>
      <c r="C22" s="193"/>
      <c r="D22" s="193"/>
      <c r="E22" s="193"/>
      <c r="F22" s="198" t="s">
        <v>688</v>
      </c>
      <c r="G22" s="199">
        <f>+G23</f>
        <v>0</v>
      </c>
    </row>
    <row r="23" spans="1:7" ht="12.75">
      <c r="A23" s="196">
        <v>5</v>
      </c>
      <c r="B23" s="193">
        <v>3</v>
      </c>
      <c r="C23" s="193">
        <v>1</v>
      </c>
      <c r="D23" s="193"/>
      <c r="E23" s="193"/>
      <c r="F23" s="198" t="s">
        <v>651</v>
      </c>
      <c r="G23" s="201"/>
    </row>
    <row r="24" spans="1:7" ht="12.75">
      <c r="A24" s="191">
        <v>6</v>
      </c>
      <c r="B24" s="193"/>
      <c r="C24" s="193"/>
      <c r="D24" s="193"/>
      <c r="E24" s="193"/>
      <c r="F24" s="198" t="s">
        <v>553</v>
      </c>
      <c r="G24" s="199">
        <f>+G25</f>
        <v>0</v>
      </c>
    </row>
    <row r="25" spans="1:7" ht="12.75">
      <c r="A25" s="196">
        <v>6</v>
      </c>
      <c r="B25" s="193">
        <v>1</v>
      </c>
      <c r="C25" s="193"/>
      <c r="D25" s="193"/>
      <c r="E25" s="193"/>
      <c r="F25" s="198" t="s">
        <v>689</v>
      </c>
      <c r="G25" s="199">
        <f>+G26</f>
        <v>0</v>
      </c>
    </row>
    <row r="26" spans="1:7" ht="13.5" thickBot="1">
      <c r="A26" s="204">
        <v>6</v>
      </c>
      <c r="B26" s="205">
        <v>1</v>
      </c>
      <c r="C26" s="205">
        <v>1</v>
      </c>
      <c r="D26" s="205"/>
      <c r="E26" s="205"/>
      <c r="F26" s="271" t="s">
        <v>652</v>
      </c>
      <c r="G26" s="208"/>
    </row>
    <row r="27" spans="6:7" ht="13.5" thickBot="1">
      <c r="F27" s="296" t="s">
        <v>690</v>
      </c>
      <c r="G27" s="173">
        <f>+G6+G17+G24</f>
        <v>1589600</v>
      </c>
    </row>
    <row r="29" spans="1:7" ht="12.75">
      <c r="A29" s="67">
        <f>+A1</f>
        <v>0</v>
      </c>
      <c r="G29" s="68"/>
    </row>
    <row r="30" spans="1:7" ht="15">
      <c r="A30" s="773" t="str">
        <f>+A2</f>
        <v>PRESUPUESTO AÑO 2008</v>
      </c>
      <c r="B30" s="774"/>
      <c r="C30" s="774"/>
      <c r="D30" s="774"/>
      <c r="E30" s="774"/>
      <c r="F30" s="774"/>
      <c r="G30" s="774"/>
    </row>
    <row r="31" spans="1:7" ht="13.5" thickBot="1">
      <c r="A31" s="33" t="s">
        <v>883</v>
      </c>
      <c r="G31" s="14" t="s">
        <v>885</v>
      </c>
    </row>
    <row r="32" spans="1:7" ht="13.5" thickBot="1">
      <c r="A32" s="771" t="s">
        <v>621</v>
      </c>
      <c r="B32" s="772"/>
      <c r="C32" s="772"/>
      <c r="D32" s="772"/>
      <c r="E32" s="772"/>
      <c r="F32" s="293" t="s">
        <v>657</v>
      </c>
      <c r="G32" s="293" t="s">
        <v>658</v>
      </c>
    </row>
    <row r="33" spans="1:7" ht="13.5" thickBot="1">
      <c r="A33" s="242" t="s">
        <v>659</v>
      </c>
      <c r="B33" s="242" t="s">
        <v>660</v>
      </c>
      <c r="C33" s="242" t="s">
        <v>661</v>
      </c>
      <c r="D33" s="242" t="s">
        <v>625</v>
      </c>
      <c r="E33" s="292" t="s">
        <v>662</v>
      </c>
      <c r="F33" s="294" t="s">
        <v>663</v>
      </c>
      <c r="G33" s="294"/>
    </row>
    <row r="34" spans="1:7" ht="12.75">
      <c r="A34" s="187">
        <v>4</v>
      </c>
      <c r="B34" s="188"/>
      <c r="C34" s="188"/>
      <c r="D34" s="188"/>
      <c r="E34" s="209"/>
      <c r="F34" s="210" t="s">
        <v>539</v>
      </c>
      <c r="G34" s="212">
        <f>+G35+G41+G43</f>
        <v>188270</v>
      </c>
    </row>
    <row r="35" spans="1:7" ht="12.75">
      <c r="A35" s="196">
        <v>4</v>
      </c>
      <c r="B35" s="193">
        <v>1</v>
      </c>
      <c r="C35" s="193"/>
      <c r="D35" s="193"/>
      <c r="E35" s="197"/>
      <c r="F35" s="198" t="s">
        <v>664</v>
      </c>
      <c r="G35" s="199">
        <f>+G36+G39+G40</f>
        <v>188270</v>
      </c>
    </row>
    <row r="36" spans="1:7" ht="12.75">
      <c r="A36" s="196">
        <v>4</v>
      </c>
      <c r="B36" s="193">
        <v>1</v>
      </c>
      <c r="C36" s="193">
        <v>1</v>
      </c>
      <c r="D36" s="193"/>
      <c r="E36" s="197"/>
      <c r="F36" s="198" t="s">
        <v>644</v>
      </c>
      <c r="G36" s="199">
        <f>+G37+G38</f>
        <v>53880</v>
      </c>
    </row>
    <row r="37" spans="1:7" ht="12.75">
      <c r="A37" s="196">
        <v>4</v>
      </c>
      <c r="B37" s="193">
        <v>1</v>
      </c>
      <c r="C37" s="193">
        <v>1</v>
      </c>
      <c r="D37" s="193">
        <v>1</v>
      </c>
      <c r="E37" s="197"/>
      <c r="F37" s="198" t="s">
        <v>665</v>
      </c>
      <c r="G37" s="199">
        <f>+ANEXO3!G97</f>
        <v>53880</v>
      </c>
    </row>
    <row r="38" spans="1:7" ht="12.75">
      <c r="A38" s="196">
        <v>4</v>
      </c>
      <c r="B38" s="193">
        <v>1</v>
      </c>
      <c r="C38" s="193">
        <v>1</v>
      </c>
      <c r="D38" s="193">
        <v>2</v>
      </c>
      <c r="E38" s="197"/>
      <c r="F38" s="198" t="s">
        <v>682</v>
      </c>
      <c r="G38" s="199">
        <f>+ANEXO3!G112</f>
        <v>0</v>
      </c>
    </row>
    <row r="39" spans="1:7" ht="12.75">
      <c r="A39" s="196">
        <v>4</v>
      </c>
      <c r="B39" s="193">
        <v>1</v>
      </c>
      <c r="C39" s="193">
        <v>2</v>
      </c>
      <c r="D39" s="193"/>
      <c r="E39" s="197"/>
      <c r="F39" s="198" t="s">
        <v>645</v>
      </c>
      <c r="G39" s="199">
        <f>+ANEXO3!G127</f>
        <v>41550</v>
      </c>
    </row>
    <row r="40" spans="1:7" ht="12.75">
      <c r="A40" s="196">
        <v>4</v>
      </c>
      <c r="B40" s="193">
        <v>1</v>
      </c>
      <c r="C40" s="193">
        <v>3</v>
      </c>
      <c r="D40" s="193"/>
      <c r="E40" s="197"/>
      <c r="F40" s="198" t="s">
        <v>646</v>
      </c>
      <c r="G40" s="199">
        <f>+ANEXO3!G147</f>
        <v>92840</v>
      </c>
    </row>
    <row r="41" spans="1:7" ht="12.75">
      <c r="A41" s="196">
        <v>4</v>
      </c>
      <c r="B41" s="193">
        <v>2</v>
      </c>
      <c r="C41" s="193"/>
      <c r="D41" s="193"/>
      <c r="E41" s="197"/>
      <c r="F41" s="198" t="s">
        <v>683</v>
      </c>
      <c r="G41" s="199">
        <f>+G42</f>
        <v>0</v>
      </c>
    </row>
    <row r="42" spans="1:7" ht="12.75">
      <c r="A42" s="196">
        <v>4</v>
      </c>
      <c r="B42" s="193">
        <v>2</v>
      </c>
      <c r="C42" s="193">
        <v>1</v>
      </c>
      <c r="D42" s="193"/>
      <c r="E42" s="197"/>
      <c r="F42" s="198" t="s">
        <v>684</v>
      </c>
      <c r="G42" s="201"/>
    </row>
    <row r="43" spans="1:7" ht="12.75">
      <c r="A43" s="196">
        <v>4</v>
      </c>
      <c r="B43" s="193">
        <v>3</v>
      </c>
      <c r="C43" s="193"/>
      <c r="D43" s="193"/>
      <c r="E43" s="197"/>
      <c r="F43" s="198" t="s">
        <v>685</v>
      </c>
      <c r="G43" s="199">
        <f>+G44</f>
        <v>0</v>
      </c>
    </row>
    <row r="44" spans="1:7" ht="12.75">
      <c r="A44" s="196">
        <v>4</v>
      </c>
      <c r="B44" s="193">
        <v>3</v>
      </c>
      <c r="C44" s="193">
        <v>1</v>
      </c>
      <c r="D44" s="193"/>
      <c r="E44" s="197"/>
      <c r="F44" s="198" t="s">
        <v>648</v>
      </c>
      <c r="G44" s="201"/>
    </row>
    <row r="45" spans="1:7" ht="12.75">
      <c r="A45" s="191">
        <v>5</v>
      </c>
      <c r="B45" s="193"/>
      <c r="C45" s="193"/>
      <c r="D45" s="193"/>
      <c r="E45" s="197"/>
      <c r="F45" s="198" t="s">
        <v>548</v>
      </c>
      <c r="G45" s="199">
        <f>+G46+G49+G50</f>
        <v>28440</v>
      </c>
    </row>
    <row r="46" spans="1:7" ht="12.75">
      <c r="A46" s="196">
        <v>5</v>
      </c>
      <c r="B46" s="193">
        <v>1</v>
      </c>
      <c r="C46" s="193"/>
      <c r="D46" s="193"/>
      <c r="E46" s="197"/>
      <c r="F46" s="198" t="s">
        <v>686</v>
      </c>
      <c r="G46" s="199">
        <f>+G47+G48</f>
        <v>28440</v>
      </c>
    </row>
    <row r="47" spans="1:7" ht="12.75">
      <c r="A47" s="196">
        <v>5</v>
      </c>
      <c r="B47" s="193">
        <v>1</v>
      </c>
      <c r="C47" s="193">
        <v>1</v>
      </c>
      <c r="D47" s="193"/>
      <c r="E47" s="197"/>
      <c r="F47" s="198" t="s">
        <v>649</v>
      </c>
      <c r="G47" s="201">
        <f>+ANEXO3!G170</f>
        <v>28440</v>
      </c>
    </row>
    <row r="48" spans="1:7" ht="12.75">
      <c r="A48" s="196">
        <v>5</v>
      </c>
      <c r="B48" s="193">
        <v>1</v>
      </c>
      <c r="C48" s="193">
        <v>2</v>
      </c>
      <c r="D48" s="193"/>
      <c r="E48" s="193"/>
      <c r="F48" s="198" t="s">
        <v>650</v>
      </c>
      <c r="G48" s="201"/>
    </row>
    <row r="49" spans="1:7" ht="12.75">
      <c r="A49" s="196">
        <v>5</v>
      </c>
      <c r="B49" s="193">
        <v>2</v>
      </c>
      <c r="C49" s="193"/>
      <c r="D49" s="193"/>
      <c r="E49" s="193"/>
      <c r="F49" s="198" t="s">
        <v>687</v>
      </c>
      <c r="G49" s="199">
        <v>0</v>
      </c>
    </row>
    <row r="50" spans="1:7" ht="12.75">
      <c r="A50" s="196">
        <v>5</v>
      </c>
      <c r="B50" s="193">
        <v>3</v>
      </c>
      <c r="C50" s="193"/>
      <c r="D50" s="193"/>
      <c r="E50" s="193"/>
      <c r="F50" s="198" t="s">
        <v>688</v>
      </c>
      <c r="G50" s="199">
        <f>+G51</f>
        <v>0</v>
      </c>
    </row>
    <row r="51" spans="1:7" ht="12.75">
      <c r="A51" s="196">
        <v>5</v>
      </c>
      <c r="B51" s="193">
        <v>3</v>
      </c>
      <c r="C51" s="193">
        <v>1</v>
      </c>
      <c r="D51" s="193"/>
      <c r="E51" s="193"/>
      <c r="F51" s="198" t="s">
        <v>651</v>
      </c>
      <c r="G51" s="201"/>
    </row>
    <row r="52" spans="1:7" ht="12.75">
      <c r="A52" s="191">
        <v>6</v>
      </c>
      <c r="B52" s="193"/>
      <c r="C52" s="193"/>
      <c r="D52" s="193"/>
      <c r="E52" s="193"/>
      <c r="F52" s="198" t="s">
        <v>553</v>
      </c>
      <c r="G52" s="199">
        <f>+G53</f>
        <v>0</v>
      </c>
    </row>
    <row r="53" spans="1:7" ht="12.75">
      <c r="A53" s="196">
        <v>6</v>
      </c>
      <c r="B53" s="193">
        <v>1</v>
      </c>
      <c r="C53" s="193"/>
      <c r="D53" s="193"/>
      <c r="E53" s="193"/>
      <c r="F53" s="198" t="s">
        <v>689</v>
      </c>
      <c r="G53" s="199">
        <f>+G54</f>
        <v>0</v>
      </c>
    </row>
    <row r="54" spans="1:7" ht="13.5" thickBot="1">
      <c r="A54" s="204">
        <v>6</v>
      </c>
      <c r="B54" s="205">
        <v>1</v>
      </c>
      <c r="C54" s="205">
        <v>1</v>
      </c>
      <c r="D54" s="205"/>
      <c r="E54" s="205"/>
      <c r="F54" s="271" t="s">
        <v>652</v>
      </c>
      <c r="G54" s="208"/>
    </row>
    <row r="55" spans="6:7" ht="13.5" thickBot="1">
      <c r="F55" s="296" t="s">
        <v>690</v>
      </c>
      <c r="G55" s="173">
        <f>+G34+G45+G52</f>
        <v>216710</v>
      </c>
    </row>
  </sheetData>
  <sheetProtection/>
  <mergeCells count="4">
    <mergeCell ref="A2:G2"/>
    <mergeCell ref="A4:E4"/>
    <mergeCell ref="A30:G30"/>
    <mergeCell ref="A32:E32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34"/>
  <sheetViews>
    <sheetView zoomScalePageLayoutView="0" workbookViewId="0" topLeftCell="A11">
      <selection activeCell="B2" sqref="B2:D2"/>
    </sheetView>
  </sheetViews>
  <sheetFormatPr defaultColWidth="11.421875" defaultRowHeight="12.75"/>
  <cols>
    <col min="2" max="2" width="54.140625" style="0" customWidth="1"/>
    <col min="3" max="4" width="19.140625" style="0" customWidth="1"/>
  </cols>
  <sheetData>
    <row r="1" spans="2:4" ht="12.75">
      <c r="B1" s="54"/>
      <c r="C1" s="48"/>
      <c r="D1" s="67" t="s">
        <v>363</v>
      </c>
    </row>
    <row r="2" spans="2:4" ht="15">
      <c r="B2" s="761" t="s">
        <v>382</v>
      </c>
      <c r="C2" s="761"/>
      <c r="D2" s="761"/>
    </row>
    <row r="4" spans="2:4" ht="12.75">
      <c r="B4" s="764" t="s">
        <v>568</v>
      </c>
      <c r="C4" s="764"/>
      <c r="D4" s="764"/>
    </row>
    <row r="5" spans="2:4" ht="13.5" thickBot="1">
      <c r="B5" s="48"/>
      <c r="C5" s="48"/>
      <c r="D5" s="48"/>
    </row>
    <row r="6" spans="2:4" ht="13.5" thickBot="1">
      <c r="B6" s="161" t="s">
        <v>569</v>
      </c>
      <c r="C6" s="161" t="s">
        <v>537</v>
      </c>
      <c r="D6" s="161" t="s">
        <v>537</v>
      </c>
    </row>
    <row r="7" spans="2:4" ht="12.75">
      <c r="B7" s="162"/>
      <c r="C7" s="170"/>
      <c r="D7" s="167"/>
    </row>
    <row r="8" spans="2:4" ht="12.75">
      <c r="B8" s="163" t="s">
        <v>570</v>
      </c>
      <c r="C8" s="171"/>
      <c r="D8" s="168">
        <f>+resumen!F8+resumen!F15</f>
        <v>105754411.653</v>
      </c>
    </row>
    <row r="9" spans="2:4" ht="12.75">
      <c r="B9" s="163" t="s">
        <v>571</v>
      </c>
      <c r="C9" s="171"/>
      <c r="D9" s="168"/>
    </row>
    <row r="10" spans="2:4" ht="12.75">
      <c r="B10" s="163" t="s">
        <v>510</v>
      </c>
      <c r="C10" s="171"/>
      <c r="D10" s="168">
        <f>+resumen!F21</f>
        <v>2136750</v>
      </c>
    </row>
    <row r="11" spans="2:4" ht="12.75">
      <c r="B11" s="163" t="s">
        <v>572</v>
      </c>
      <c r="C11" s="171"/>
      <c r="D11" s="168">
        <f>+resumen!F20</f>
        <v>1546030</v>
      </c>
    </row>
    <row r="12" spans="2:4" ht="12.75">
      <c r="B12" s="164" t="s">
        <v>573</v>
      </c>
      <c r="C12" s="171"/>
      <c r="D12" s="169">
        <f>SUM(D8:D11)</f>
        <v>109437191.653</v>
      </c>
    </row>
    <row r="13" spans="2:4" ht="12.75">
      <c r="B13" s="164"/>
      <c r="C13" s="171"/>
      <c r="D13" s="169"/>
    </row>
    <row r="14" spans="2:4" ht="12.75">
      <c r="B14" s="163" t="s">
        <v>574</v>
      </c>
      <c r="C14" s="171"/>
      <c r="D14" s="168">
        <f>+resumen!B25</f>
        <v>100852390</v>
      </c>
    </row>
    <row r="15" spans="2:4" ht="12.75">
      <c r="B15" s="164" t="s">
        <v>573</v>
      </c>
      <c r="C15" s="171"/>
      <c r="D15" s="169">
        <f>SUM(D14:D14)</f>
        <v>100852390</v>
      </c>
    </row>
    <row r="16" spans="2:4" ht="12.75">
      <c r="B16" s="163"/>
      <c r="C16" s="171"/>
      <c r="D16" s="168"/>
    </row>
    <row r="17" spans="2:4" ht="12.75">
      <c r="B17" s="165" t="s">
        <v>554</v>
      </c>
      <c r="C17" s="171"/>
      <c r="D17" s="169">
        <f>+D12-D15</f>
        <v>8584801.652999997</v>
      </c>
    </row>
    <row r="18" spans="2:4" ht="12.75">
      <c r="B18" s="166"/>
      <c r="C18" s="171"/>
      <c r="D18" s="169"/>
    </row>
    <row r="19" spans="2:4" ht="12.75">
      <c r="B19" s="166" t="s">
        <v>402</v>
      </c>
      <c r="C19" s="171"/>
      <c r="D19" s="169">
        <f>+C20+C24+C27+C28+C29</f>
        <v>8603062</v>
      </c>
    </row>
    <row r="20" spans="2:4" ht="12.75">
      <c r="B20" s="163" t="s">
        <v>618</v>
      </c>
      <c r="C20" s="171">
        <f>+resumen!B27</f>
        <v>4136750</v>
      </c>
      <c r="D20" s="168"/>
    </row>
    <row r="21" spans="2:4" ht="12.75">
      <c r="B21" s="163" t="s">
        <v>40</v>
      </c>
      <c r="C21" s="171">
        <f>+resumen!B28</f>
        <v>2000000</v>
      </c>
      <c r="D21" s="168"/>
    </row>
    <row r="22" spans="2:4" ht="12.75">
      <c r="B22" s="163" t="s">
        <v>41</v>
      </c>
      <c r="C22" s="171">
        <f>+resumen!B29</f>
        <v>0</v>
      </c>
      <c r="D22" s="168"/>
    </row>
    <row r="23" spans="2:4" ht="12.75">
      <c r="B23" s="163" t="s">
        <v>42</v>
      </c>
      <c r="C23" s="171">
        <f>+resumen!B30</f>
        <v>2136750</v>
      </c>
      <c r="D23" s="168"/>
    </row>
    <row r="24" spans="2:4" ht="12.75">
      <c r="B24" s="163" t="s">
        <v>617</v>
      </c>
      <c r="C24" s="171">
        <f>+C26+C25</f>
        <v>0</v>
      </c>
      <c r="D24" s="168"/>
    </row>
    <row r="25" spans="2:4" ht="12.75">
      <c r="B25" s="163" t="s">
        <v>43</v>
      </c>
      <c r="C25" s="171">
        <f>+resumen!B32</f>
        <v>0</v>
      </c>
      <c r="D25" s="168"/>
    </row>
    <row r="26" spans="2:4" ht="12.75">
      <c r="B26" s="163" t="s">
        <v>44</v>
      </c>
      <c r="C26" s="171">
        <f>+resumen!B33</f>
        <v>0</v>
      </c>
      <c r="D26" s="168"/>
    </row>
    <row r="27" spans="2:4" ht="12.75">
      <c r="B27" s="163" t="s">
        <v>831</v>
      </c>
      <c r="C27" s="171">
        <v>0</v>
      </c>
      <c r="D27" s="168"/>
    </row>
    <row r="28" spans="2:4" ht="12.75">
      <c r="B28" s="163" t="s">
        <v>832</v>
      </c>
      <c r="C28" s="171">
        <f>+resumen!B35</f>
        <v>4466312</v>
      </c>
      <c r="D28" s="168"/>
    </row>
    <row r="29" spans="2:4" ht="13.5" thickBot="1">
      <c r="B29" s="175" t="s">
        <v>833</v>
      </c>
      <c r="C29" s="176">
        <f>+resumen!B36</f>
        <v>0</v>
      </c>
      <c r="D29" s="177"/>
    </row>
    <row r="30" spans="2:4" ht="13.5" thickBot="1">
      <c r="B30" s="172" t="s">
        <v>619</v>
      </c>
      <c r="C30" s="173"/>
      <c r="D30" s="174">
        <f>+D17-D19</f>
        <v>-18260.34700000286</v>
      </c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</sheetData>
  <sheetProtection/>
  <mergeCells count="2">
    <mergeCell ref="B2:D2"/>
    <mergeCell ref="B4:D4"/>
  </mergeCells>
  <printOptions horizontalCentered="1"/>
  <pageMargins left="0.5905511811023623" right="0.1968503937007874" top="0.3937007874015748" bottom="0.3937007874015748" header="0" footer="0"/>
  <pageSetup horizontalDpi="600" verticalDpi="600" orientation="portrait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82"/>
  <sheetViews>
    <sheetView zoomScale="75" zoomScaleNormal="75" zoomScalePageLayoutView="0" workbookViewId="0" topLeftCell="A166">
      <selection activeCell="G174" sqref="G174"/>
    </sheetView>
  </sheetViews>
  <sheetFormatPr defaultColWidth="11.421875" defaultRowHeight="12.75"/>
  <cols>
    <col min="1" max="1" width="7.28125" style="48" customWidth="1"/>
    <col min="2" max="2" width="6.421875" style="48" customWidth="1"/>
    <col min="3" max="3" width="7.7109375" style="48" customWidth="1"/>
    <col min="4" max="4" width="9.140625" style="48" customWidth="1"/>
    <col min="5" max="5" width="7.57421875" style="48" customWidth="1"/>
    <col min="6" max="6" width="50.421875" style="48" customWidth="1"/>
    <col min="7" max="7" width="14.421875" style="68" customWidth="1"/>
  </cols>
  <sheetData>
    <row r="1" spans="1:7" ht="12.75">
      <c r="A1" s="54">
        <f>+ANEXO7!A1</f>
        <v>0</v>
      </c>
      <c r="G1" s="48"/>
    </row>
    <row r="2" spans="1:7" ht="15">
      <c r="A2" s="761" t="s">
        <v>382</v>
      </c>
      <c r="B2" s="761"/>
      <c r="C2" s="761"/>
      <c r="D2" s="761"/>
      <c r="E2" s="761"/>
      <c r="F2" s="761"/>
      <c r="G2" s="761"/>
    </row>
    <row r="3" spans="1:7" ht="13.5" thickBot="1">
      <c r="A3" s="33" t="s">
        <v>699</v>
      </c>
      <c r="G3" s="14">
        <v>761</v>
      </c>
    </row>
    <row r="4" spans="1:7" ht="13.5" thickBot="1">
      <c r="A4" s="771" t="s">
        <v>621</v>
      </c>
      <c r="B4" s="772"/>
      <c r="C4" s="772"/>
      <c r="D4" s="772"/>
      <c r="E4" s="772"/>
      <c r="F4" s="293" t="s">
        <v>657</v>
      </c>
      <c r="G4" s="293" t="s">
        <v>658</v>
      </c>
    </row>
    <row r="5" spans="1:7" ht="13.5" thickBot="1">
      <c r="A5" s="242" t="s">
        <v>659</v>
      </c>
      <c r="B5" s="242" t="s">
        <v>660</v>
      </c>
      <c r="C5" s="242" t="s">
        <v>661</v>
      </c>
      <c r="D5" s="242" t="s">
        <v>625</v>
      </c>
      <c r="E5" s="292" t="s">
        <v>662</v>
      </c>
      <c r="F5" s="294" t="s">
        <v>663</v>
      </c>
      <c r="G5" s="294"/>
    </row>
    <row r="6" spans="1:7" ht="12.75">
      <c r="A6" s="211">
        <v>4</v>
      </c>
      <c r="B6" s="188">
        <v>1</v>
      </c>
      <c r="C6" s="188">
        <v>1</v>
      </c>
      <c r="D6" s="188">
        <v>1</v>
      </c>
      <c r="E6" s="209"/>
      <c r="F6" s="210" t="s">
        <v>665</v>
      </c>
      <c r="G6" s="212">
        <f>+SUM(G7:G20)</f>
        <v>1090730</v>
      </c>
    </row>
    <row r="7" spans="1:7" ht="12.75">
      <c r="A7" s="196">
        <v>4</v>
      </c>
      <c r="B7" s="193">
        <v>1</v>
      </c>
      <c r="C7" s="193">
        <v>1</v>
      </c>
      <c r="D7" s="193">
        <v>1</v>
      </c>
      <c r="E7" s="197" t="s">
        <v>666</v>
      </c>
      <c r="F7" s="200" t="s">
        <v>667</v>
      </c>
      <c r="G7" s="201">
        <f>498430-4920</f>
        <v>493510</v>
      </c>
    </row>
    <row r="8" spans="1:7" ht="12.75">
      <c r="A8" s="196">
        <v>4</v>
      </c>
      <c r="B8" s="193">
        <v>1</v>
      </c>
      <c r="C8" s="193">
        <v>1</v>
      </c>
      <c r="D8" s="193">
        <v>1</v>
      </c>
      <c r="E8" s="197" t="s">
        <v>668</v>
      </c>
      <c r="F8" s="200" t="s">
        <v>669</v>
      </c>
      <c r="G8" s="201">
        <f>142080-7100</f>
        <v>134980</v>
      </c>
    </row>
    <row r="9" spans="1:7" ht="12.75">
      <c r="A9" s="196">
        <v>4</v>
      </c>
      <c r="B9" s="193">
        <v>1</v>
      </c>
      <c r="C9" s="193">
        <v>1</v>
      </c>
      <c r="D9" s="193">
        <v>1</v>
      </c>
      <c r="E9" s="197" t="s">
        <v>670</v>
      </c>
      <c r="F9" s="200" t="s">
        <v>726</v>
      </c>
      <c r="G9" s="201">
        <v>0</v>
      </c>
    </row>
    <row r="10" spans="1:7" ht="12.75">
      <c r="A10" s="196">
        <v>4</v>
      </c>
      <c r="B10" s="193">
        <v>1</v>
      </c>
      <c r="C10" s="193">
        <v>1</v>
      </c>
      <c r="D10" s="193">
        <v>1</v>
      </c>
      <c r="E10" s="197" t="s">
        <v>672</v>
      </c>
      <c r="F10" s="200" t="s">
        <v>671</v>
      </c>
      <c r="G10" s="201">
        <f>2940-140</f>
        <v>2800</v>
      </c>
    </row>
    <row r="11" spans="1:7" ht="12.75">
      <c r="A11" s="196">
        <v>4</v>
      </c>
      <c r="B11" s="193">
        <v>1</v>
      </c>
      <c r="C11" s="193">
        <v>1</v>
      </c>
      <c r="D11" s="193">
        <v>1</v>
      </c>
      <c r="E11" s="197" t="s">
        <v>673</v>
      </c>
      <c r="F11" s="200" t="s">
        <v>674</v>
      </c>
      <c r="G11" s="201">
        <f>88390-4420</f>
        <v>83970</v>
      </c>
    </row>
    <row r="12" spans="1:7" ht="12.75">
      <c r="A12" s="196">
        <v>4</v>
      </c>
      <c r="B12" s="193">
        <v>1</v>
      </c>
      <c r="C12" s="193">
        <v>1</v>
      </c>
      <c r="D12" s="193">
        <v>1</v>
      </c>
      <c r="E12" s="197" t="s">
        <v>675</v>
      </c>
      <c r="F12" s="200" t="s">
        <v>727</v>
      </c>
      <c r="G12" s="201">
        <f>46500-2320</f>
        <v>44180</v>
      </c>
    </row>
    <row r="13" spans="1:7" ht="12.75">
      <c r="A13" s="196">
        <v>4</v>
      </c>
      <c r="B13" s="193">
        <v>1</v>
      </c>
      <c r="C13" s="193">
        <v>1</v>
      </c>
      <c r="D13" s="193">
        <v>1</v>
      </c>
      <c r="E13" s="197" t="s">
        <v>677</v>
      </c>
      <c r="F13" s="200" t="s">
        <v>676</v>
      </c>
      <c r="G13" s="201">
        <f>60720-3030</f>
        <v>57690</v>
      </c>
    </row>
    <row r="14" spans="1:7" ht="12.75">
      <c r="A14" s="196">
        <v>4</v>
      </c>
      <c r="B14" s="193">
        <v>1</v>
      </c>
      <c r="C14" s="193">
        <v>1</v>
      </c>
      <c r="D14" s="193">
        <v>1</v>
      </c>
      <c r="E14" s="197" t="s">
        <v>679</v>
      </c>
      <c r="F14" s="200" t="s">
        <v>678</v>
      </c>
      <c r="G14" s="201">
        <f>84340-4210</f>
        <v>80130</v>
      </c>
    </row>
    <row r="15" spans="1:7" ht="12.75">
      <c r="A15" s="196">
        <v>4</v>
      </c>
      <c r="B15" s="193">
        <v>1</v>
      </c>
      <c r="C15" s="193">
        <v>1</v>
      </c>
      <c r="D15" s="193">
        <v>1</v>
      </c>
      <c r="E15" s="197" t="s">
        <v>680</v>
      </c>
      <c r="F15" s="200" t="s">
        <v>728</v>
      </c>
      <c r="G15" s="201">
        <f>15500-770</f>
        <v>14730</v>
      </c>
    </row>
    <row r="16" spans="1:7" ht="12.75">
      <c r="A16" s="196">
        <v>4</v>
      </c>
      <c r="B16" s="193">
        <v>1</v>
      </c>
      <c r="C16" s="193">
        <v>1</v>
      </c>
      <c r="D16" s="193">
        <v>1</v>
      </c>
      <c r="E16" s="197" t="s">
        <v>681</v>
      </c>
      <c r="F16" s="200" t="s">
        <v>730</v>
      </c>
      <c r="G16" s="201">
        <f>28130-1400</f>
        <v>26730</v>
      </c>
    </row>
    <row r="17" spans="1:7" ht="12.75">
      <c r="A17" s="196">
        <v>4</v>
      </c>
      <c r="B17" s="193">
        <v>1</v>
      </c>
      <c r="C17" s="193">
        <v>1</v>
      </c>
      <c r="D17" s="193">
        <v>1</v>
      </c>
      <c r="E17" s="197" t="s">
        <v>725</v>
      </c>
      <c r="F17" s="200" t="s">
        <v>731</v>
      </c>
      <c r="G17" s="201">
        <f>76370-3810</f>
        <v>72560</v>
      </c>
    </row>
    <row r="18" spans="1:7" ht="12.75">
      <c r="A18" s="196">
        <v>4</v>
      </c>
      <c r="B18" s="193">
        <v>1</v>
      </c>
      <c r="C18" s="193">
        <v>1</v>
      </c>
      <c r="D18" s="193">
        <v>1</v>
      </c>
      <c r="E18" s="197" t="s">
        <v>729</v>
      </c>
      <c r="F18" s="200" t="s">
        <v>732</v>
      </c>
      <c r="G18" s="201">
        <f>70550-3530</f>
        <v>67020</v>
      </c>
    </row>
    <row r="19" spans="1:7" ht="12.75">
      <c r="A19" s="196">
        <v>4</v>
      </c>
      <c r="B19" s="193">
        <v>1</v>
      </c>
      <c r="C19" s="193">
        <v>1</v>
      </c>
      <c r="D19" s="193">
        <v>1</v>
      </c>
      <c r="E19" s="197" t="s">
        <v>733</v>
      </c>
      <c r="F19" s="200" t="s">
        <v>735</v>
      </c>
      <c r="G19" s="201">
        <f>13080-650</f>
        <v>12430</v>
      </c>
    </row>
    <row r="20" spans="1:7" ht="12.75">
      <c r="A20" s="196">
        <v>4</v>
      </c>
      <c r="B20" s="193">
        <v>1</v>
      </c>
      <c r="C20" s="193">
        <v>1</v>
      </c>
      <c r="D20" s="193">
        <v>1</v>
      </c>
      <c r="E20" s="197" t="s">
        <v>734</v>
      </c>
      <c r="F20" s="200" t="s">
        <v>736</v>
      </c>
      <c r="G20" s="201">
        <v>0</v>
      </c>
    </row>
    <row r="21" spans="1:7" ht="12.75">
      <c r="A21" s="196">
        <v>4</v>
      </c>
      <c r="B21" s="193">
        <v>1</v>
      </c>
      <c r="C21" s="193">
        <v>1</v>
      </c>
      <c r="D21" s="193">
        <v>2</v>
      </c>
      <c r="E21" s="197"/>
      <c r="F21" s="198" t="s">
        <v>682</v>
      </c>
      <c r="G21" s="199">
        <f>+SUM(G22:G35)</f>
        <v>0</v>
      </c>
    </row>
    <row r="22" spans="1:7" ht="12.75">
      <c r="A22" s="196">
        <v>4</v>
      </c>
      <c r="B22" s="193">
        <v>1</v>
      </c>
      <c r="C22" s="193">
        <v>1</v>
      </c>
      <c r="D22" s="193">
        <v>2</v>
      </c>
      <c r="E22" s="197" t="s">
        <v>666</v>
      </c>
      <c r="F22" s="200" t="s">
        <v>667</v>
      </c>
      <c r="G22" s="201"/>
    </row>
    <row r="23" spans="1:7" ht="12.75">
      <c r="A23" s="196">
        <v>4</v>
      </c>
      <c r="B23" s="193">
        <v>1</v>
      </c>
      <c r="C23" s="193">
        <v>1</v>
      </c>
      <c r="D23" s="193">
        <v>2</v>
      </c>
      <c r="E23" s="197" t="s">
        <v>668</v>
      </c>
      <c r="F23" s="200" t="s">
        <v>669</v>
      </c>
      <c r="G23" s="201"/>
    </row>
    <row r="24" spans="1:7" ht="12.75">
      <c r="A24" s="196">
        <v>4</v>
      </c>
      <c r="B24" s="193">
        <v>1</v>
      </c>
      <c r="C24" s="193">
        <v>1</v>
      </c>
      <c r="D24" s="193">
        <v>2</v>
      </c>
      <c r="E24" s="197" t="s">
        <v>670</v>
      </c>
      <c r="F24" s="200" t="s">
        <v>726</v>
      </c>
      <c r="G24" s="201"/>
    </row>
    <row r="25" spans="1:7" ht="12.75">
      <c r="A25" s="196">
        <v>4</v>
      </c>
      <c r="B25" s="193">
        <v>1</v>
      </c>
      <c r="C25" s="193">
        <v>1</v>
      </c>
      <c r="D25" s="193">
        <v>2</v>
      </c>
      <c r="E25" s="197" t="s">
        <v>672</v>
      </c>
      <c r="F25" s="200" t="s">
        <v>671</v>
      </c>
      <c r="G25" s="201"/>
    </row>
    <row r="26" spans="1:7" ht="12.75">
      <c r="A26" s="196">
        <v>4</v>
      </c>
      <c r="B26" s="193">
        <v>1</v>
      </c>
      <c r="C26" s="193">
        <v>1</v>
      </c>
      <c r="D26" s="193">
        <v>2</v>
      </c>
      <c r="E26" s="197" t="s">
        <v>673</v>
      </c>
      <c r="F26" s="200" t="s">
        <v>674</v>
      </c>
      <c r="G26" s="201"/>
    </row>
    <row r="27" spans="1:7" ht="12.75">
      <c r="A27" s="196">
        <v>4</v>
      </c>
      <c r="B27" s="193">
        <v>1</v>
      </c>
      <c r="C27" s="193">
        <v>1</v>
      </c>
      <c r="D27" s="193">
        <v>2</v>
      </c>
      <c r="E27" s="197" t="s">
        <v>675</v>
      </c>
      <c r="F27" s="200" t="s">
        <v>727</v>
      </c>
      <c r="G27" s="201"/>
    </row>
    <row r="28" spans="1:7" ht="12.75">
      <c r="A28" s="196">
        <v>4</v>
      </c>
      <c r="B28" s="193">
        <v>1</v>
      </c>
      <c r="C28" s="193">
        <v>1</v>
      </c>
      <c r="D28" s="193">
        <v>2</v>
      </c>
      <c r="E28" s="197" t="s">
        <v>677</v>
      </c>
      <c r="F28" s="200" t="s">
        <v>676</v>
      </c>
      <c r="G28" s="201"/>
    </row>
    <row r="29" spans="1:7" ht="12.75">
      <c r="A29" s="196">
        <v>4</v>
      </c>
      <c r="B29" s="193">
        <v>1</v>
      </c>
      <c r="C29" s="193">
        <v>1</v>
      </c>
      <c r="D29" s="193">
        <v>2</v>
      </c>
      <c r="E29" s="197" t="s">
        <v>679</v>
      </c>
      <c r="F29" s="200" t="s">
        <v>678</v>
      </c>
      <c r="G29" s="201"/>
    </row>
    <row r="30" spans="1:7" ht="12.75">
      <c r="A30" s="196">
        <v>4</v>
      </c>
      <c r="B30" s="193">
        <v>1</v>
      </c>
      <c r="C30" s="193">
        <v>1</v>
      </c>
      <c r="D30" s="193">
        <v>2</v>
      </c>
      <c r="E30" s="197" t="s">
        <v>680</v>
      </c>
      <c r="F30" s="200" t="s">
        <v>728</v>
      </c>
      <c r="G30" s="201"/>
    </row>
    <row r="31" spans="1:7" ht="12.75">
      <c r="A31" s="196">
        <v>4</v>
      </c>
      <c r="B31" s="193">
        <v>1</v>
      </c>
      <c r="C31" s="193">
        <v>1</v>
      </c>
      <c r="D31" s="193">
        <v>2</v>
      </c>
      <c r="E31" s="197" t="s">
        <v>681</v>
      </c>
      <c r="F31" s="200" t="s">
        <v>730</v>
      </c>
      <c r="G31" s="201"/>
    </row>
    <row r="32" spans="1:7" ht="12.75">
      <c r="A32" s="196">
        <v>4</v>
      </c>
      <c r="B32" s="193">
        <v>1</v>
      </c>
      <c r="C32" s="193">
        <v>1</v>
      </c>
      <c r="D32" s="193">
        <v>2</v>
      </c>
      <c r="E32" s="197" t="s">
        <v>725</v>
      </c>
      <c r="F32" s="200" t="s">
        <v>731</v>
      </c>
      <c r="G32" s="201"/>
    </row>
    <row r="33" spans="1:7" ht="12.75">
      <c r="A33" s="196">
        <v>4</v>
      </c>
      <c r="B33" s="193">
        <v>1</v>
      </c>
      <c r="C33" s="193">
        <v>1</v>
      </c>
      <c r="D33" s="193">
        <v>2</v>
      </c>
      <c r="E33" s="197" t="s">
        <v>729</v>
      </c>
      <c r="F33" s="200" t="s">
        <v>732</v>
      </c>
      <c r="G33" s="201"/>
    </row>
    <row r="34" spans="1:7" ht="12.75">
      <c r="A34" s="196">
        <v>4</v>
      </c>
      <c r="B34" s="193">
        <v>1</v>
      </c>
      <c r="C34" s="193">
        <v>1</v>
      </c>
      <c r="D34" s="193">
        <v>2</v>
      </c>
      <c r="E34" s="197" t="s">
        <v>733</v>
      </c>
      <c r="F34" s="200" t="s">
        <v>735</v>
      </c>
      <c r="G34" s="201"/>
    </row>
    <row r="35" spans="1:7" ht="12.75">
      <c r="A35" s="196">
        <v>4</v>
      </c>
      <c r="B35" s="193">
        <v>1</v>
      </c>
      <c r="C35" s="193">
        <v>1</v>
      </c>
      <c r="D35" s="193">
        <v>2</v>
      </c>
      <c r="E35" s="197" t="s">
        <v>734</v>
      </c>
      <c r="F35" s="200" t="s">
        <v>736</v>
      </c>
      <c r="G35" s="201"/>
    </row>
    <row r="36" spans="1:7" ht="12.75">
      <c r="A36" s="196">
        <v>4</v>
      </c>
      <c r="B36" s="193">
        <v>1</v>
      </c>
      <c r="C36" s="193">
        <v>2</v>
      </c>
      <c r="D36" s="193"/>
      <c r="E36" s="197"/>
      <c r="F36" s="198" t="s">
        <v>645</v>
      </c>
      <c r="G36" s="199">
        <f>+SUM(G37:G55)</f>
        <v>171270</v>
      </c>
    </row>
    <row r="37" spans="1:7" ht="12.75">
      <c r="A37" s="196">
        <v>4</v>
      </c>
      <c r="B37" s="193">
        <v>1</v>
      </c>
      <c r="C37" s="193">
        <v>2</v>
      </c>
      <c r="D37" s="193"/>
      <c r="E37" s="193">
        <v>1</v>
      </c>
      <c r="F37" s="200" t="s">
        <v>834</v>
      </c>
      <c r="G37" s="201"/>
    </row>
    <row r="38" spans="1:7" ht="12.75">
      <c r="A38" s="196">
        <v>4</v>
      </c>
      <c r="B38" s="193">
        <v>1</v>
      </c>
      <c r="C38" s="193">
        <v>2</v>
      </c>
      <c r="D38" s="193"/>
      <c r="E38" s="193">
        <v>2</v>
      </c>
      <c r="F38" s="200" t="s">
        <v>835</v>
      </c>
      <c r="G38" s="201"/>
    </row>
    <row r="39" spans="1:7" ht="12.75">
      <c r="A39" s="196">
        <v>4</v>
      </c>
      <c r="B39" s="193">
        <v>1</v>
      </c>
      <c r="C39" s="193">
        <v>2</v>
      </c>
      <c r="D39" s="193"/>
      <c r="E39" s="193">
        <v>3</v>
      </c>
      <c r="F39" s="200" t="s">
        <v>836</v>
      </c>
      <c r="G39" s="201">
        <f>28000-4480</f>
        <v>23520</v>
      </c>
    </row>
    <row r="40" spans="1:7" ht="12.75">
      <c r="A40" s="196">
        <v>4</v>
      </c>
      <c r="B40" s="193">
        <v>1</v>
      </c>
      <c r="C40" s="193">
        <v>2</v>
      </c>
      <c r="D40" s="193"/>
      <c r="E40" s="193">
        <v>4</v>
      </c>
      <c r="F40" s="200" t="s">
        <v>837</v>
      </c>
      <c r="G40" s="201">
        <f>45000-7200</f>
        <v>37800</v>
      </c>
    </row>
    <row r="41" spans="1:7" ht="12.75">
      <c r="A41" s="196">
        <v>4</v>
      </c>
      <c r="B41" s="193">
        <v>1</v>
      </c>
      <c r="C41" s="193">
        <v>2</v>
      </c>
      <c r="D41" s="193"/>
      <c r="E41" s="193">
        <v>5</v>
      </c>
      <c r="F41" s="200" t="s">
        <v>838</v>
      </c>
      <c r="G41" s="201">
        <f>8500-1360</f>
        <v>7140</v>
      </c>
    </row>
    <row r="42" spans="1:7" ht="12.75">
      <c r="A42" s="196">
        <v>4</v>
      </c>
      <c r="B42" s="193">
        <v>1</v>
      </c>
      <c r="C42" s="193">
        <v>2</v>
      </c>
      <c r="D42" s="193"/>
      <c r="E42" s="193">
        <v>6</v>
      </c>
      <c r="F42" s="200" t="s">
        <v>839</v>
      </c>
      <c r="G42" s="201">
        <f>5000-800</f>
        <v>4200</v>
      </c>
    </row>
    <row r="43" spans="1:7" ht="12.75">
      <c r="A43" s="196">
        <v>4</v>
      </c>
      <c r="B43" s="193">
        <v>1</v>
      </c>
      <c r="C43" s="193">
        <v>2</v>
      </c>
      <c r="D43" s="193"/>
      <c r="E43" s="193">
        <v>7</v>
      </c>
      <c r="F43" s="200" t="s">
        <v>840</v>
      </c>
      <c r="G43" s="201"/>
    </row>
    <row r="44" spans="1:7" ht="12.75">
      <c r="A44" s="196">
        <v>4</v>
      </c>
      <c r="B44" s="193">
        <v>1</v>
      </c>
      <c r="C44" s="193">
        <v>2</v>
      </c>
      <c r="D44" s="193"/>
      <c r="E44" s="193">
        <v>8</v>
      </c>
      <c r="F44" s="200" t="s">
        <v>842</v>
      </c>
      <c r="G44" s="201"/>
    </row>
    <row r="45" spans="1:7" ht="12.75">
      <c r="A45" s="196">
        <v>4</v>
      </c>
      <c r="B45" s="193">
        <v>1</v>
      </c>
      <c r="C45" s="193">
        <v>2</v>
      </c>
      <c r="D45" s="193"/>
      <c r="E45" s="193">
        <v>9</v>
      </c>
      <c r="F45" s="200" t="s">
        <v>843</v>
      </c>
      <c r="G45" s="201">
        <f>1500-240</f>
        <v>1260</v>
      </c>
    </row>
    <row r="46" spans="1:7" ht="12.75">
      <c r="A46" s="196">
        <v>4</v>
      </c>
      <c r="B46" s="193">
        <v>1</v>
      </c>
      <c r="C46" s="193">
        <v>2</v>
      </c>
      <c r="D46" s="193"/>
      <c r="E46" s="193">
        <v>10</v>
      </c>
      <c r="F46" s="200" t="s">
        <v>844</v>
      </c>
      <c r="G46" s="201">
        <f>600-90</f>
        <v>510</v>
      </c>
    </row>
    <row r="47" spans="1:7" ht="12.75">
      <c r="A47" s="196">
        <v>4</v>
      </c>
      <c r="B47" s="193">
        <v>1</v>
      </c>
      <c r="C47" s="193">
        <v>2</v>
      </c>
      <c r="D47" s="193"/>
      <c r="E47" s="193">
        <v>11</v>
      </c>
      <c r="F47" s="200" t="s">
        <v>845</v>
      </c>
      <c r="G47" s="201">
        <f>40000-6400</f>
        <v>33600</v>
      </c>
    </row>
    <row r="48" spans="1:7" ht="12.75">
      <c r="A48" s="196">
        <v>4</v>
      </c>
      <c r="B48" s="193">
        <v>1</v>
      </c>
      <c r="C48" s="193">
        <v>2</v>
      </c>
      <c r="D48" s="193"/>
      <c r="E48" s="193">
        <v>12</v>
      </c>
      <c r="F48" s="200" t="s">
        <v>846</v>
      </c>
      <c r="G48" s="201">
        <f>9000-1440</f>
        <v>7560</v>
      </c>
    </row>
    <row r="49" spans="1:7" ht="12.75">
      <c r="A49" s="196">
        <v>4</v>
      </c>
      <c r="B49" s="193">
        <v>1</v>
      </c>
      <c r="C49" s="193">
        <v>2</v>
      </c>
      <c r="D49" s="193"/>
      <c r="E49" s="193">
        <v>13</v>
      </c>
      <c r="F49" s="200" t="s">
        <v>847</v>
      </c>
      <c r="G49" s="201"/>
    </row>
    <row r="50" spans="1:7" ht="12.75">
      <c r="A50" s="196">
        <v>4</v>
      </c>
      <c r="B50" s="193">
        <v>1</v>
      </c>
      <c r="C50" s="193">
        <v>2</v>
      </c>
      <c r="D50" s="193"/>
      <c r="E50" s="193">
        <v>14</v>
      </c>
      <c r="F50" s="200" t="s">
        <v>848</v>
      </c>
      <c r="G50" s="201">
        <f>5000-800</f>
        <v>4200</v>
      </c>
    </row>
    <row r="51" spans="1:7" ht="12.75">
      <c r="A51" s="196">
        <v>4</v>
      </c>
      <c r="B51" s="193">
        <v>1</v>
      </c>
      <c r="C51" s="193">
        <v>2</v>
      </c>
      <c r="D51" s="193"/>
      <c r="E51" s="193">
        <v>15</v>
      </c>
      <c r="F51" s="200" t="s">
        <v>849</v>
      </c>
      <c r="G51" s="201">
        <f>122000-19520-51000</f>
        <v>51480</v>
      </c>
    </row>
    <row r="52" spans="1:7" ht="12.75">
      <c r="A52" s="196">
        <v>4</v>
      </c>
      <c r="B52" s="193">
        <v>1</v>
      </c>
      <c r="C52" s="193">
        <v>2</v>
      </c>
      <c r="D52" s="193"/>
      <c r="E52" s="193">
        <v>16</v>
      </c>
      <c r="F52" s="200" t="s">
        <v>850</v>
      </c>
      <c r="G52" s="201"/>
    </row>
    <row r="53" spans="1:7" ht="12.75">
      <c r="A53" s="196">
        <v>4</v>
      </c>
      <c r="B53" s="193">
        <v>1</v>
      </c>
      <c r="C53" s="193">
        <v>2</v>
      </c>
      <c r="D53" s="193"/>
      <c r="E53" s="193">
        <v>17</v>
      </c>
      <c r="F53" s="200" t="s">
        <v>851</v>
      </c>
      <c r="G53" s="201"/>
    </row>
    <row r="54" spans="1:7" ht="12.75">
      <c r="A54" s="196">
        <v>4</v>
      </c>
      <c r="B54" s="193">
        <v>1</v>
      </c>
      <c r="C54" s="193">
        <v>2</v>
      </c>
      <c r="D54" s="193"/>
      <c r="E54" s="193">
        <v>18</v>
      </c>
      <c r="F54" s="200" t="s">
        <v>852</v>
      </c>
      <c r="G54" s="201"/>
    </row>
    <row r="55" spans="1:7" ht="12.75">
      <c r="A55" s="196">
        <v>4</v>
      </c>
      <c r="B55" s="193">
        <v>1</v>
      </c>
      <c r="C55" s="193">
        <v>2</v>
      </c>
      <c r="D55" s="193"/>
      <c r="E55" s="193">
        <v>19</v>
      </c>
      <c r="F55" s="200" t="s">
        <v>853</v>
      </c>
      <c r="G55" s="201"/>
    </row>
    <row r="56" spans="1:7" ht="12.75">
      <c r="A56" s="196">
        <v>4</v>
      </c>
      <c r="B56" s="193">
        <v>1</v>
      </c>
      <c r="C56" s="193">
        <v>3</v>
      </c>
      <c r="D56" s="193"/>
      <c r="E56" s="197"/>
      <c r="F56" s="198" t="s">
        <v>646</v>
      </c>
      <c r="G56" s="199">
        <f>+SUM(G57:G78)</f>
        <v>286200</v>
      </c>
    </row>
    <row r="57" spans="1:7" ht="12.75">
      <c r="A57" s="196">
        <v>4</v>
      </c>
      <c r="B57" s="193">
        <v>1</v>
      </c>
      <c r="C57" s="193">
        <v>3</v>
      </c>
      <c r="D57" s="193"/>
      <c r="E57" s="193">
        <v>1</v>
      </c>
      <c r="F57" s="200" t="s">
        <v>854</v>
      </c>
      <c r="G57" s="201"/>
    </row>
    <row r="58" spans="1:7" ht="12.75">
      <c r="A58" s="196">
        <v>4</v>
      </c>
      <c r="B58" s="193">
        <v>1</v>
      </c>
      <c r="C58" s="193">
        <v>3</v>
      </c>
      <c r="D58" s="193"/>
      <c r="E58" s="193">
        <v>2</v>
      </c>
      <c r="F58" s="200" t="s">
        <v>855</v>
      </c>
      <c r="G58" s="201"/>
    </row>
    <row r="59" spans="1:7" ht="12.75">
      <c r="A59" s="196">
        <v>4</v>
      </c>
      <c r="B59" s="193">
        <v>1</v>
      </c>
      <c r="C59" s="193">
        <v>3</v>
      </c>
      <c r="D59" s="193"/>
      <c r="E59" s="193">
        <v>3</v>
      </c>
      <c r="F59" s="200" t="s">
        <v>856</v>
      </c>
      <c r="G59" s="201">
        <f>3500-560</f>
        <v>2940</v>
      </c>
    </row>
    <row r="60" spans="1:7" ht="12.75">
      <c r="A60" s="196">
        <v>4</v>
      </c>
      <c r="B60" s="193">
        <v>1</v>
      </c>
      <c r="C60" s="193">
        <v>3</v>
      </c>
      <c r="D60" s="193"/>
      <c r="E60" s="193">
        <v>4</v>
      </c>
      <c r="F60" s="200" t="s">
        <v>857</v>
      </c>
      <c r="G60" s="201"/>
    </row>
    <row r="61" spans="1:7" ht="12.75">
      <c r="A61" s="196">
        <v>4</v>
      </c>
      <c r="B61" s="193">
        <v>1</v>
      </c>
      <c r="C61" s="193">
        <v>3</v>
      </c>
      <c r="D61" s="193"/>
      <c r="E61" s="193">
        <v>5</v>
      </c>
      <c r="F61" s="200" t="s">
        <v>858</v>
      </c>
      <c r="G61" s="201">
        <f>10000-1600</f>
        <v>8400</v>
      </c>
    </row>
    <row r="62" spans="1:7" ht="12.75">
      <c r="A62" s="196">
        <v>4</v>
      </c>
      <c r="B62" s="193">
        <v>1</v>
      </c>
      <c r="C62" s="193">
        <v>3</v>
      </c>
      <c r="D62" s="193"/>
      <c r="E62" s="193">
        <v>6</v>
      </c>
      <c r="F62" s="200" t="s">
        <v>859</v>
      </c>
      <c r="G62" s="201"/>
    </row>
    <row r="63" spans="1:7" ht="12.75">
      <c r="A63" s="196">
        <v>4</v>
      </c>
      <c r="B63" s="193">
        <v>1</v>
      </c>
      <c r="C63" s="193">
        <v>3</v>
      </c>
      <c r="D63" s="193"/>
      <c r="E63" s="193">
        <v>7</v>
      </c>
      <c r="F63" s="200" t="s">
        <v>860</v>
      </c>
      <c r="G63" s="201">
        <f>150000-24000</f>
        <v>126000</v>
      </c>
    </row>
    <row r="64" spans="1:7" ht="12.75">
      <c r="A64" s="196">
        <v>4</v>
      </c>
      <c r="B64" s="193">
        <v>1</v>
      </c>
      <c r="C64" s="193">
        <v>3</v>
      </c>
      <c r="D64" s="193"/>
      <c r="E64" s="193">
        <v>8</v>
      </c>
      <c r="F64" s="200" t="s">
        <v>861</v>
      </c>
      <c r="G64" s="201"/>
    </row>
    <row r="65" spans="1:7" ht="12.75">
      <c r="A65" s="196">
        <v>4</v>
      </c>
      <c r="B65" s="193">
        <v>1</v>
      </c>
      <c r="C65" s="193">
        <v>3</v>
      </c>
      <c r="D65" s="193"/>
      <c r="E65" s="193">
        <v>9</v>
      </c>
      <c r="F65" s="200" t="s">
        <v>862</v>
      </c>
      <c r="G65" s="201">
        <f>10000-1600</f>
        <v>8400</v>
      </c>
    </row>
    <row r="66" spans="1:7" ht="12.75">
      <c r="A66" s="196">
        <v>4</v>
      </c>
      <c r="B66" s="193">
        <v>1</v>
      </c>
      <c r="C66" s="193">
        <v>3</v>
      </c>
      <c r="D66" s="193"/>
      <c r="E66" s="193">
        <v>10</v>
      </c>
      <c r="F66" s="200" t="s">
        <v>863</v>
      </c>
      <c r="G66" s="201">
        <f>15000-2400</f>
        <v>12600</v>
      </c>
    </row>
    <row r="67" spans="1:7" ht="12.75">
      <c r="A67" s="196">
        <v>4</v>
      </c>
      <c r="B67" s="193">
        <v>1</v>
      </c>
      <c r="C67" s="193">
        <v>3</v>
      </c>
      <c r="D67" s="193"/>
      <c r="E67" s="193">
        <v>11</v>
      </c>
      <c r="F67" s="200" t="s">
        <v>864</v>
      </c>
      <c r="G67" s="201"/>
    </row>
    <row r="68" spans="1:7" ht="12.75">
      <c r="A68" s="196">
        <v>4</v>
      </c>
      <c r="B68" s="193">
        <v>1</v>
      </c>
      <c r="C68" s="193">
        <v>3</v>
      </c>
      <c r="D68" s="193"/>
      <c r="E68" s="193">
        <v>12</v>
      </c>
      <c r="F68" s="200" t="s">
        <v>865</v>
      </c>
      <c r="G68" s="201"/>
    </row>
    <row r="69" spans="1:7" ht="12.75">
      <c r="A69" s="196">
        <v>4</v>
      </c>
      <c r="B69" s="193">
        <v>1</v>
      </c>
      <c r="C69" s="193">
        <v>3</v>
      </c>
      <c r="D69" s="193"/>
      <c r="E69" s="193">
        <v>13</v>
      </c>
      <c r="F69" s="200" t="s">
        <v>866</v>
      </c>
      <c r="G69" s="201">
        <f>5000-800</f>
        <v>4200</v>
      </c>
    </row>
    <row r="70" spans="1:7" ht="12.75">
      <c r="A70" s="196">
        <v>4</v>
      </c>
      <c r="B70" s="193">
        <v>1</v>
      </c>
      <c r="C70" s="193">
        <v>3</v>
      </c>
      <c r="D70" s="193"/>
      <c r="E70" s="193">
        <v>14</v>
      </c>
      <c r="F70" s="200" t="s">
        <v>867</v>
      </c>
      <c r="G70" s="201">
        <f>3500-560</f>
        <v>2940</v>
      </c>
    </row>
    <row r="71" spans="1:7" ht="12.75">
      <c r="A71" s="196">
        <v>4</v>
      </c>
      <c r="B71" s="193">
        <v>1</v>
      </c>
      <c r="C71" s="193">
        <v>3</v>
      </c>
      <c r="D71" s="193"/>
      <c r="E71" s="193">
        <v>15</v>
      </c>
      <c r="F71" s="200" t="s">
        <v>868</v>
      </c>
      <c r="G71" s="201"/>
    </row>
    <row r="72" spans="1:7" ht="12.75">
      <c r="A72" s="196">
        <v>4</v>
      </c>
      <c r="B72" s="193">
        <v>1</v>
      </c>
      <c r="C72" s="193">
        <v>3</v>
      </c>
      <c r="D72" s="193"/>
      <c r="E72" s="193">
        <v>16</v>
      </c>
      <c r="F72" s="200" t="s">
        <v>869</v>
      </c>
      <c r="G72" s="201"/>
    </row>
    <row r="73" spans="1:7" ht="12.75">
      <c r="A73" s="196">
        <v>4</v>
      </c>
      <c r="B73" s="193">
        <v>1</v>
      </c>
      <c r="C73" s="193">
        <v>3</v>
      </c>
      <c r="D73" s="193"/>
      <c r="E73" s="193">
        <v>17</v>
      </c>
      <c r="F73" s="200" t="s">
        <v>870</v>
      </c>
      <c r="G73" s="201">
        <f>3000-480</f>
        <v>2520</v>
      </c>
    </row>
    <row r="74" spans="1:7" ht="12.75">
      <c r="A74" s="196">
        <v>4</v>
      </c>
      <c r="B74" s="193">
        <v>1</v>
      </c>
      <c r="C74" s="193">
        <v>3</v>
      </c>
      <c r="D74" s="193"/>
      <c r="E74" s="193">
        <v>18</v>
      </c>
      <c r="F74" s="200" t="s">
        <v>871</v>
      </c>
      <c r="G74" s="201"/>
    </row>
    <row r="75" spans="1:7" ht="12.75">
      <c r="A75" s="196">
        <v>4</v>
      </c>
      <c r="B75" s="193">
        <v>1</v>
      </c>
      <c r="C75" s="193">
        <v>3</v>
      </c>
      <c r="D75" s="193"/>
      <c r="E75" s="193">
        <v>19</v>
      </c>
      <c r="F75" s="200" t="s">
        <v>872</v>
      </c>
      <c r="G75" s="201"/>
    </row>
    <row r="76" spans="1:7" ht="12.75">
      <c r="A76" s="196">
        <v>4</v>
      </c>
      <c r="B76" s="193">
        <v>1</v>
      </c>
      <c r="C76" s="193">
        <v>3</v>
      </c>
      <c r="D76" s="193"/>
      <c r="E76" s="193">
        <v>20</v>
      </c>
      <c r="F76" s="200" t="s">
        <v>873</v>
      </c>
      <c r="G76" s="201"/>
    </row>
    <row r="77" spans="1:7" ht="12.75">
      <c r="A77" s="196">
        <v>4</v>
      </c>
      <c r="B77" s="193">
        <v>1</v>
      </c>
      <c r="C77" s="193">
        <v>3</v>
      </c>
      <c r="D77" s="193"/>
      <c r="E77" s="193">
        <v>21</v>
      </c>
      <c r="F77" s="200" t="s">
        <v>874</v>
      </c>
      <c r="G77" s="201">
        <f>160000-25600-33000</f>
        <v>101400</v>
      </c>
    </row>
    <row r="78" spans="1:7" ht="12.75">
      <c r="A78" s="196">
        <v>4</v>
      </c>
      <c r="B78" s="193">
        <v>1</v>
      </c>
      <c r="C78" s="193">
        <v>3</v>
      </c>
      <c r="D78" s="193"/>
      <c r="E78" s="193" t="s">
        <v>106</v>
      </c>
      <c r="F78" s="200" t="s">
        <v>117</v>
      </c>
      <c r="G78" s="201">
        <f>20000-3200</f>
        <v>16800</v>
      </c>
    </row>
    <row r="79" spans="1:7" ht="12.75">
      <c r="A79" s="196">
        <v>5</v>
      </c>
      <c r="B79" s="193">
        <v>1</v>
      </c>
      <c r="C79" s="193">
        <v>1</v>
      </c>
      <c r="D79" s="193"/>
      <c r="E79" s="197"/>
      <c r="F79" s="198" t="s">
        <v>649</v>
      </c>
      <c r="G79" s="199">
        <f>+SUM(G80:G90)</f>
        <v>41400</v>
      </c>
    </row>
    <row r="80" spans="1:7" ht="12.75">
      <c r="A80" s="196">
        <v>5</v>
      </c>
      <c r="B80" s="193">
        <v>1</v>
      </c>
      <c r="C80" s="193">
        <v>1</v>
      </c>
      <c r="D80" s="193"/>
      <c r="E80" s="193">
        <v>1</v>
      </c>
      <c r="F80" s="200" t="s">
        <v>875</v>
      </c>
      <c r="G80" s="201">
        <f>2000-320</f>
        <v>1680</v>
      </c>
    </row>
    <row r="81" spans="1:7" ht="12.75">
      <c r="A81" s="196">
        <v>5</v>
      </c>
      <c r="B81" s="193">
        <v>1</v>
      </c>
      <c r="C81" s="193">
        <v>1</v>
      </c>
      <c r="D81" s="193"/>
      <c r="E81" s="193">
        <v>2</v>
      </c>
      <c r="F81" s="200" t="s">
        <v>876</v>
      </c>
      <c r="G81" s="201"/>
    </row>
    <row r="82" spans="1:7" ht="12.75">
      <c r="A82" s="196">
        <v>5</v>
      </c>
      <c r="B82" s="193">
        <v>1</v>
      </c>
      <c r="C82" s="193">
        <v>1</v>
      </c>
      <c r="D82" s="193"/>
      <c r="E82" s="193">
        <v>3</v>
      </c>
      <c r="F82" s="200" t="s">
        <v>877</v>
      </c>
      <c r="G82" s="201">
        <f>45000-7200-9000</f>
        <v>28800</v>
      </c>
    </row>
    <row r="83" spans="1:7" ht="12.75">
      <c r="A83" s="196">
        <v>5</v>
      </c>
      <c r="B83" s="193">
        <v>1</v>
      </c>
      <c r="C83" s="193">
        <v>1</v>
      </c>
      <c r="D83" s="193"/>
      <c r="E83" s="193">
        <v>4</v>
      </c>
      <c r="F83" s="200" t="s">
        <v>878</v>
      </c>
      <c r="G83" s="201"/>
    </row>
    <row r="84" spans="1:7" ht="12.75">
      <c r="A84" s="196">
        <v>5</v>
      </c>
      <c r="B84" s="193">
        <v>1</v>
      </c>
      <c r="C84" s="193">
        <v>1</v>
      </c>
      <c r="D84" s="193"/>
      <c r="E84" s="193">
        <v>5</v>
      </c>
      <c r="F84" s="200" t="s">
        <v>879</v>
      </c>
      <c r="G84" s="201"/>
    </row>
    <row r="85" spans="1:7" ht="12.75">
      <c r="A85" s="196">
        <v>5</v>
      </c>
      <c r="B85" s="193">
        <v>1</v>
      </c>
      <c r="C85" s="193">
        <v>1</v>
      </c>
      <c r="D85" s="193"/>
      <c r="E85" s="193">
        <v>6</v>
      </c>
      <c r="F85" s="200" t="s">
        <v>880</v>
      </c>
      <c r="G85" s="201">
        <f>9000-1440</f>
        <v>7560</v>
      </c>
    </row>
    <row r="86" spans="1:7" ht="12.75">
      <c r="A86" s="196">
        <v>5</v>
      </c>
      <c r="B86" s="193">
        <v>1</v>
      </c>
      <c r="C86" s="193">
        <v>1</v>
      </c>
      <c r="D86" s="193"/>
      <c r="E86" s="193">
        <v>7</v>
      </c>
      <c r="F86" s="200" t="s">
        <v>893</v>
      </c>
      <c r="G86" s="201"/>
    </row>
    <row r="87" spans="1:7" ht="12.75">
      <c r="A87" s="196">
        <v>5</v>
      </c>
      <c r="B87" s="193">
        <v>1</v>
      </c>
      <c r="C87" s="193">
        <v>1</v>
      </c>
      <c r="D87" s="193"/>
      <c r="E87" s="193">
        <v>8</v>
      </c>
      <c r="F87" s="200" t="s">
        <v>894</v>
      </c>
      <c r="G87" s="201">
        <f>1000-160</f>
        <v>840</v>
      </c>
    </row>
    <row r="88" spans="1:7" ht="12.75">
      <c r="A88" s="196">
        <v>5</v>
      </c>
      <c r="B88" s="193">
        <v>1</v>
      </c>
      <c r="C88" s="193">
        <v>1</v>
      </c>
      <c r="D88" s="193"/>
      <c r="E88" s="193">
        <v>9</v>
      </c>
      <c r="F88" s="200" t="s">
        <v>897</v>
      </c>
      <c r="G88" s="201"/>
    </row>
    <row r="89" spans="1:7" ht="12.75">
      <c r="A89" s="196">
        <v>5</v>
      </c>
      <c r="B89" s="193">
        <v>1</v>
      </c>
      <c r="C89" s="193">
        <v>1</v>
      </c>
      <c r="D89" s="193"/>
      <c r="E89" s="193">
        <v>10</v>
      </c>
      <c r="F89" s="200" t="s">
        <v>895</v>
      </c>
      <c r="G89" s="201">
        <f>3000-480</f>
        <v>2520</v>
      </c>
    </row>
    <row r="90" spans="1:7" ht="13.5" thickBot="1">
      <c r="A90" s="204">
        <v>5</v>
      </c>
      <c r="B90" s="205">
        <v>1</v>
      </c>
      <c r="C90" s="205">
        <v>1</v>
      </c>
      <c r="D90" s="205"/>
      <c r="E90" s="205">
        <v>11</v>
      </c>
      <c r="F90" s="207" t="s">
        <v>896</v>
      </c>
      <c r="G90" s="208"/>
    </row>
    <row r="91" spans="6:7" ht="13.5" thickBot="1">
      <c r="F91" s="295" t="s">
        <v>690</v>
      </c>
      <c r="G91" s="184">
        <f>+G6+G21+G36+G56+G79</f>
        <v>1589600</v>
      </c>
    </row>
    <row r="92" spans="1:7" ht="12.75">
      <c r="A92" s="54">
        <f>+A1</f>
        <v>0</v>
      </c>
      <c r="G92" s="48"/>
    </row>
    <row r="93" spans="1:7" ht="15">
      <c r="A93" s="773" t="str">
        <f>+A2</f>
        <v>PRESUPUESTO AÑO 2008</v>
      </c>
      <c r="B93" s="774"/>
      <c r="C93" s="774"/>
      <c r="D93" s="774"/>
      <c r="E93" s="774"/>
      <c r="F93" s="774"/>
      <c r="G93" s="774"/>
    </row>
    <row r="94" spans="1:7" ht="13.5" thickBot="1">
      <c r="A94" s="33" t="s">
        <v>883</v>
      </c>
      <c r="G94" s="14">
        <v>781</v>
      </c>
    </row>
    <row r="95" spans="1:7" ht="13.5" thickBot="1">
      <c r="A95" s="771" t="s">
        <v>621</v>
      </c>
      <c r="B95" s="772"/>
      <c r="C95" s="772"/>
      <c r="D95" s="772"/>
      <c r="E95" s="772"/>
      <c r="F95" s="293" t="s">
        <v>657</v>
      </c>
      <c r="G95" s="293" t="s">
        <v>658</v>
      </c>
    </row>
    <row r="96" spans="1:7" ht="13.5" thickBot="1">
      <c r="A96" s="242" t="s">
        <v>659</v>
      </c>
      <c r="B96" s="242" t="s">
        <v>660</v>
      </c>
      <c r="C96" s="242" t="s">
        <v>661</v>
      </c>
      <c r="D96" s="242" t="s">
        <v>625</v>
      </c>
      <c r="E96" s="292" t="s">
        <v>662</v>
      </c>
      <c r="F96" s="294" t="s">
        <v>663</v>
      </c>
      <c r="G96" s="294"/>
    </row>
    <row r="97" spans="1:7" ht="12.75">
      <c r="A97" s="211">
        <v>4</v>
      </c>
      <c r="B97" s="188">
        <v>1</v>
      </c>
      <c r="C97" s="188">
        <v>1</v>
      </c>
      <c r="D97" s="188">
        <v>1</v>
      </c>
      <c r="E97" s="209"/>
      <c r="F97" s="210" t="s">
        <v>665</v>
      </c>
      <c r="G97" s="212">
        <f>+SUM(G98:G111)</f>
        <v>53880</v>
      </c>
    </row>
    <row r="98" spans="1:7" ht="12.75">
      <c r="A98" s="196">
        <v>4</v>
      </c>
      <c r="B98" s="193">
        <v>1</v>
      </c>
      <c r="C98" s="193">
        <v>1</v>
      </c>
      <c r="D98" s="193">
        <v>1</v>
      </c>
      <c r="E98" s="197" t="s">
        <v>666</v>
      </c>
      <c r="F98" s="200" t="s">
        <v>667</v>
      </c>
      <c r="G98" s="201">
        <f>12110-600</f>
        <v>11510</v>
      </c>
    </row>
    <row r="99" spans="1:7" ht="12.75">
      <c r="A99" s="196">
        <v>4</v>
      </c>
      <c r="B99" s="193">
        <v>1</v>
      </c>
      <c r="C99" s="193">
        <v>1</v>
      </c>
      <c r="D99" s="193">
        <v>1</v>
      </c>
      <c r="E99" s="197" t="s">
        <v>668</v>
      </c>
      <c r="F99" s="200" t="s">
        <v>669</v>
      </c>
      <c r="G99" s="201">
        <f>4480-220</f>
        <v>4260</v>
      </c>
    </row>
    <row r="100" spans="1:7" ht="12.75">
      <c r="A100" s="196">
        <v>4</v>
      </c>
      <c r="B100" s="193">
        <v>1</v>
      </c>
      <c r="C100" s="193">
        <v>1</v>
      </c>
      <c r="D100" s="193">
        <v>1</v>
      </c>
      <c r="E100" s="197" t="s">
        <v>670</v>
      </c>
      <c r="F100" s="200" t="s">
        <v>726</v>
      </c>
      <c r="G100" s="201">
        <v>0</v>
      </c>
    </row>
    <row r="101" spans="1:7" ht="12.75">
      <c r="A101" s="196">
        <v>4</v>
      </c>
      <c r="B101" s="193">
        <v>1</v>
      </c>
      <c r="C101" s="193">
        <v>1</v>
      </c>
      <c r="D101" s="193">
        <v>1</v>
      </c>
      <c r="E101" s="197" t="s">
        <v>672</v>
      </c>
      <c r="F101" s="200" t="s">
        <v>671</v>
      </c>
      <c r="G101" s="201">
        <v>0</v>
      </c>
    </row>
    <row r="102" spans="1:7" ht="12.75">
      <c r="A102" s="196">
        <v>4</v>
      </c>
      <c r="B102" s="193">
        <v>1</v>
      </c>
      <c r="C102" s="193">
        <v>1</v>
      </c>
      <c r="D102" s="193">
        <v>1</v>
      </c>
      <c r="E102" s="197" t="s">
        <v>673</v>
      </c>
      <c r="F102" s="200" t="s">
        <v>674</v>
      </c>
      <c r="G102" s="201">
        <f>16670-830</f>
        <v>15840</v>
      </c>
    </row>
    <row r="103" spans="1:7" ht="12.75">
      <c r="A103" s="196">
        <v>4</v>
      </c>
      <c r="B103" s="193">
        <v>1</v>
      </c>
      <c r="C103" s="193">
        <v>1</v>
      </c>
      <c r="D103" s="193">
        <v>1</v>
      </c>
      <c r="E103" s="197" t="s">
        <v>675</v>
      </c>
      <c r="F103" s="200" t="s">
        <v>727</v>
      </c>
      <c r="G103" s="201">
        <v>0</v>
      </c>
    </row>
    <row r="104" spans="1:7" ht="12.75">
      <c r="A104" s="196">
        <v>4</v>
      </c>
      <c r="B104" s="193">
        <v>1</v>
      </c>
      <c r="C104" s="193">
        <v>1</v>
      </c>
      <c r="D104" s="193">
        <v>1</v>
      </c>
      <c r="E104" s="197" t="s">
        <v>677</v>
      </c>
      <c r="F104" s="200" t="s">
        <v>676</v>
      </c>
      <c r="G104" s="201">
        <f>3630-180</f>
        <v>3450</v>
      </c>
    </row>
    <row r="105" spans="1:7" ht="12.75">
      <c r="A105" s="196">
        <v>4</v>
      </c>
      <c r="B105" s="193">
        <v>1</v>
      </c>
      <c r="C105" s="193">
        <v>1</v>
      </c>
      <c r="D105" s="193">
        <v>1</v>
      </c>
      <c r="E105" s="197" t="s">
        <v>679</v>
      </c>
      <c r="F105" s="200" t="s">
        <v>678</v>
      </c>
      <c r="G105" s="201">
        <v>0</v>
      </c>
    </row>
    <row r="106" spans="1:7" ht="12.75">
      <c r="A106" s="196">
        <v>4</v>
      </c>
      <c r="B106" s="193">
        <v>1</v>
      </c>
      <c r="C106" s="193">
        <v>1</v>
      </c>
      <c r="D106" s="193">
        <v>1</v>
      </c>
      <c r="E106" s="197" t="s">
        <v>680</v>
      </c>
      <c r="F106" s="200" t="s">
        <v>728</v>
      </c>
      <c r="G106" s="201">
        <f>8580-420</f>
        <v>8160</v>
      </c>
    </row>
    <row r="107" spans="1:7" ht="12.75">
      <c r="A107" s="196">
        <v>4</v>
      </c>
      <c r="B107" s="193">
        <v>1</v>
      </c>
      <c r="C107" s="193">
        <v>1</v>
      </c>
      <c r="D107" s="193">
        <v>1</v>
      </c>
      <c r="E107" s="197" t="s">
        <v>681</v>
      </c>
      <c r="F107" s="200" t="s">
        <v>730</v>
      </c>
      <c r="G107" s="201">
        <f>5340-260</f>
        <v>5080</v>
      </c>
    </row>
    <row r="108" spans="1:7" ht="12.75">
      <c r="A108" s="196">
        <v>4</v>
      </c>
      <c r="B108" s="193">
        <v>1</v>
      </c>
      <c r="C108" s="193">
        <v>1</v>
      </c>
      <c r="D108" s="193">
        <v>1</v>
      </c>
      <c r="E108" s="197" t="s">
        <v>725</v>
      </c>
      <c r="F108" s="200" t="s">
        <v>731</v>
      </c>
      <c r="G108" s="201">
        <f>3200-160</f>
        <v>3040</v>
      </c>
    </row>
    <row r="109" spans="1:7" ht="12.75">
      <c r="A109" s="196">
        <v>4</v>
      </c>
      <c r="B109" s="193">
        <v>1</v>
      </c>
      <c r="C109" s="193">
        <v>1</v>
      </c>
      <c r="D109" s="193">
        <v>1</v>
      </c>
      <c r="E109" s="197" t="s">
        <v>729</v>
      </c>
      <c r="F109" s="200" t="s">
        <v>732</v>
      </c>
      <c r="G109" s="201">
        <f>2280-110</f>
        <v>2170</v>
      </c>
    </row>
    <row r="110" spans="1:7" ht="12.75">
      <c r="A110" s="196">
        <v>4</v>
      </c>
      <c r="B110" s="193">
        <v>1</v>
      </c>
      <c r="C110" s="193">
        <v>1</v>
      </c>
      <c r="D110" s="193">
        <v>1</v>
      </c>
      <c r="E110" s="197" t="s">
        <v>733</v>
      </c>
      <c r="F110" s="200" t="s">
        <v>735</v>
      </c>
      <c r="G110" s="201">
        <f>390-20</f>
        <v>370</v>
      </c>
    </row>
    <row r="111" spans="1:7" ht="12.75">
      <c r="A111" s="196">
        <v>4</v>
      </c>
      <c r="B111" s="193">
        <v>1</v>
      </c>
      <c r="C111" s="193">
        <v>1</v>
      </c>
      <c r="D111" s="193">
        <v>1</v>
      </c>
      <c r="E111" s="197" t="s">
        <v>734</v>
      </c>
      <c r="F111" s="200" t="s">
        <v>736</v>
      </c>
      <c r="G111" s="201"/>
    </row>
    <row r="112" spans="1:7" ht="12.75">
      <c r="A112" s="196">
        <v>4</v>
      </c>
      <c r="B112" s="193">
        <v>1</v>
      </c>
      <c r="C112" s="193">
        <v>1</v>
      </c>
      <c r="D112" s="193">
        <v>2</v>
      </c>
      <c r="E112" s="197"/>
      <c r="F112" s="198" t="s">
        <v>682</v>
      </c>
      <c r="G112" s="199">
        <f>+SUM(G113:G126)</f>
        <v>0</v>
      </c>
    </row>
    <row r="113" spans="1:7" ht="12.75">
      <c r="A113" s="196">
        <v>4</v>
      </c>
      <c r="B113" s="193">
        <v>1</v>
      </c>
      <c r="C113" s="193">
        <v>1</v>
      </c>
      <c r="D113" s="193">
        <v>2</v>
      </c>
      <c r="E113" s="197" t="s">
        <v>666</v>
      </c>
      <c r="F113" s="200" t="s">
        <v>667</v>
      </c>
      <c r="G113" s="201"/>
    </row>
    <row r="114" spans="1:7" ht="12.75">
      <c r="A114" s="196">
        <v>4</v>
      </c>
      <c r="B114" s="193">
        <v>1</v>
      </c>
      <c r="C114" s="193">
        <v>1</v>
      </c>
      <c r="D114" s="193">
        <v>2</v>
      </c>
      <c r="E114" s="197" t="s">
        <v>668</v>
      </c>
      <c r="F114" s="200" t="s">
        <v>669</v>
      </c>
      <c r="G114" s="201"/>
    </row>
    <row r="115" spans="1:7" ht="12.75">
      <c r="A115" s="196">
        <v>4</v>
      </c>
      <c r="B115" s="193">
        <v>1</v>
      </c>
      <c r="C115" s="193">
        <v>1</v>
      </c>
      <c r="D115" s="193">
        <v>2</v>
      </c>
      <c r="E115" s="197" t="s">
        <v>670</v>
      </c>
      <c r="F115" s="200" t="s">
        <v>726</v>
      </c>
      <c r="G115" s="201"/>
    </row>
    <row r="116" spans="1:7" ht="12.75">
      <c r="A116" s="196">
        <v>4</v>
      </c>
      <c r="B116" s="193">
        <v>1</v>
      </c>
      <c r="C116" s="193">
        <v>1</v>
      </c>
      <c r="D116" s="193">
        <v>2</v>
      </c>
      <c r="E116" s="197" t="s">
        <v>672</v>
      </c>
      <c r="F116" s="200" t="s">
        <v>671</v>
      </c>
      <c r="G116" s="201"/>
    </row>
    <row r="117" spans="1:7" ht="12.75">
      <c r="A117" s="196">
        <v>4</v>
      </c>
      <c r="B117" s="193">
        <v>1</v>
      </c>
      <c r="C117" s="193">
        <v>1</v>
      </c>
      <c r="D117" s="193">
        <v>2</v>
      </c>
      <c r="E117" s="197" t="s">
        <v>673</v>
      </c>
      <c r="F117" s="200" t="s">
        <v>674</v>
      </c>
      <c r="G117" s="201"/>
    </row>
    <row r="118" spans="1:7" ht="12.75">
      <c r="A118" s="196">
        <v>4</v>
      </c>
      <c r="B118" s="193">
        <v>1</v>
      </c>
      <c r="C118" s="193">
        <v>1</v>
      </c>
      <c r="D118" s="193">
        <v>2</v>
      </c>
      <c r="E118" s="197" t="s">
        <v>675</v>
      </c>
      <c r="F118" s="200" t="s">
        <v>727</v>
      </c>
      <c r="G118" s="201"/>
    </row>
    <row r="119" spans="1:7" ht="12.75">
      <c r="A119" s="196">
        <v>4</v>
      </c>
      <c r="B119" s="193">
        <v>1</v>
      </c>
      <c r="C119" s="193">
        <v>1</v>
      </c>
      <c r="D119" s="193">
        <v>2</v>
      </c>
      <c r="E119" s="197" t="s">
        <v>677</v>
      </c>
      <c r="F119" s="200" t="s">
        <v>676</v>
      </c>
      <c r="G119" s="201"/>
    </row>
    <row r="120" spans="1:7" ht="12.75">
      <c r="A120" s="196">
        <v>4</v>
      </c>
      <c r="B120" s="193">
        <v>1</v>
      </c>
      <c r="C120" s="193">
        <v>1</v>
      </c>
      <c r="D120" s="193">
        <v>2</v>
      </c>
      <c r="E120" s="197" t="s">
        <v>679</v>
      </c>
      <c r="F120" s="200" t="s">
        <v>678</v>
      </c>
      <c r="G120" s="201"/>
    </row>
    <row r="121" spans="1:7" ht="12.75">
      <c r="A121" s="196">
        <v>4</v>
      </c>
      <c r="B121" s="193">
        <v>1</v>
      </c>
      <c r="C121" s="193">
        <v>1</v>
      </c>
      <c r="D121" s="193">
        <v>2</v>
      </c>
      <c r="E121" s="197" t="s">
        <v>680</v>
      </c>
      <c r="F121" s="200" t="s">
        <v>728</v>
      </c>
      <c r="G121" s="201"/>
    </row>
    <row r="122" spans="1:7" ht="12.75">
      <c r="A122" s="196">
        <v>4</v>
      </c>
      <c r="B122" s="193">
        <v>1</v>
      </c>
      <c r="C122" s="193">
        <v>1</v>
      </c>
      <c r="D122" s="193">
        <v>2</v>
      </c>
      <c r="E122" s="197" t="s">
        <v>681</v>
      </c>
      <c r="F122" s="200" t="s">
        <v>730</v>
      </c>
      <c r="G122" s="201"/>
    </row>
    <row r="123" spans="1:7" ht="12.75">
      <c r="A123" s="196">
        <v>4</v>
      </c>
      <c r="B123" s="193">
        <v>1</v>
      </c>
      <c r="C123" s="193">
        <v>1</v>
      </c>
      <c r="D123" s="193">
        <v>2</v>
      </c>
      <c r="E123" s="197" t="s">
        <v>725</v>
      </c>
      <c r="F123" s="200" t="s">
        <v>731</v>
      </c>
      <c r="G123" s="201"/>
    </row>
    <row r="124" spans="1:7" ht="12.75">
      <c r="A124" s="196">
        <v>4</v>
      </c>
      <c r="B124" s="193">
        <v>1</v>
      </c>
      <c r="C124" s="193">
        <v>1</v>
      </c>
      <c r="D124" s="193">
        <v>2</v>
      </c>
      <c r="E124" s="197" t="s">
        <v>729</v>
      </c>
      <c r="F124" s="200" t="s">
        <v>732</v>
      </c>
      <c r="G124" s="201"/>
    </row>
    <row r="125" spans="1:7" ht="12.75">
      <c r="A125" s="196">
        <v>4</v>
      </c>
      <c r="B125" s="193">
        <v>1</v>
      </c>
      <c r="C125" s="193">
        <v>1</v>
      </c>
      <c r="D125" s="193">
        <v>2</v>
      </c>
      <c r="E125" s="197" t="s">
        <v>733</v>
      </c>
      <c r="F125" s="200" t="s">
        <v>735</v>
      </c>
      <c r="G125" s="201"/>
    </row>
    <row r="126" spans="1:7" ht="12.75">
      <c r="A126" s="196">
        <v>4</v>
      </c>
      <c r="B126" s="193">
        <v>1</v>
      </c>
      <c r="C126" s="193">
        <v>1</v>
      </c>
      <c r="D126" s="193">
        <v>2</v>
      </c>
      <c r="E126" s="197" t="s">
        <v>734</v>
      </c>
      <c r="F126" s="200" t="s">
        <v>736</v>
      </c>
      <c r="G126" s="201"/>
    </row>
    <row r="127" spans="1:7" ht="12.75">
      <c r="A127" s="196">
        <v>4</v>
      </c>
      <c r="B127" s="193">
        <v>1</v>
      </c>
      <c r="C127" s="193">
        <v>2</v>
      </c>
      <c r="D127" s="193"/>
      <c r="E127" s="197"/>
      <c r="F127" s="198" t="s">
        <v>645</v>
      </c>
      <c r="G127" s="199">
        <f>+SUM(G128:G146)</f>
        <v>41550</v>
      </c>
    </row>
    <row r="128" spans="1:7" ht="12.75">
      <c r="A128" s="196">
        <v>4</v>
      </c>
      <c r="B128" s="193">
        <v>1</v>
      </c>
      <c r="C128" s="193">
        <v>2</v>
      </c>
      <c r="D128" s="193"/>
      <c r="E128" s="193">
        <v>1</v>
      </c>
      <c r="F128" s="200" t="s">
        <v>834</v>
      </c>
      <c r="G128" s="201"/>
    </row>
    <row r="129" spans="1:7" ht="12.75">
      <c r="A129" s="196">
        <v>4</v>
      </c>
      <c r="B129" s="193">
        <v>1</v>
      </c>
      <c r="C129" s="193">
        <v>2</v>
      </c>
      <c r="D129" s="193"/>
      <c r="E129" s="193">
        <v>2</v>
      </c>
      <c r="F129" s="200" t="s">
        <v>835</v>
      </c>
      <c r="G129" s="201"/>
    </row>
    <row r="130" spans="1:7" ht="12.75">
      <c r="A130" s="196">
        <v>4</v>
      </c>
      <c r="B130" s="193">
        <v>1</v>
      </c>
      <c r="C130" s="193">
        <v>2</v>
      </c>
      <c r="D130" s="193"/>
      <c r="E130" s="193">
        <v>3</v>
      </c>
      <c r="F130" s="200" t="s">
        <v>836</v>
      </c>
      <c r="G130" s="201"/>
    </row>
    <row r="131" spans="1:7" ht="12.75">
      <c r="A131" s="196">
        <v>4</v>
      </c>
      <c r="B131" s="193">
        <v>1</v>
      </c>
      <c r="C131" s="193">
        <v>2</v>
      </c>
      <c r="D131" s="193"/>
      <c r="E131" s="193">
        <v>4</v>
      </c>
      <c r="F131" s="200" t="s">
        <v>837</v>
      </c>
      <c r="G131" s="201"/>
    </row>
    <row r="132" spans="1:7" ht="12.75">
      <c r="A132" s="196">
        <v>4</v>
      </c>
      <c r="B132" s="193">
        <v>1</v>
      </c>
      <c r="C132" s="193">
        <v>2</v>
      </c>
      <c r="D132" s="193"/>
      <c r="E132" s="193">
        <v>5</v>
      </c>
      <c r="F132" s="200" t="s">
        <v>838</v>
      </c>
      <c r="G132" s="201">
        <f>8000-1280</f>
        <v>6720</v>
      </c>
    </row>
    <row r="133" spans="1:7" ht="12.75">
      <c r="A133" s="196">
        <v>4</v>
      </c>
      <c r="B133" s="193">
        <v>1</v>
      </c>
      <c r="C133" s="193">
        <v>2</v>
      </c>
      <c r="D133" s="193"/>
      <c r="E133" s="193">
        <v>6</v>
      </c>
      <c r="F133" s="200" t="s">
        <v>839</v>
      </c>
      <c r="G133" s="201">
        <f>4000-640</f>
        <v>3360</v>
      </c>
    </row>
    <row r="134" spans="1:7" ht="12.75">
      <c r="A134" s="196">
        <v>4</v>
      </c>
      <c r="B134" s="193">
        <v>1</v>
      </c>
      <c r="C134" s="193">
        <v>2</v>
      </c>
      <c r="D134" s="193"/>
      <c r="E134" s="193">
        <v>7</v>
      </c>
      <c r="F134" s="200" t="s">
        <v>840</v>
      </c>
      <c r="G134" s="201"/>
    </row>
    <row r="135" spans="1:7" ht="12.75">
      <c r="A135" s="196">
        <v>4</v>
      </c>
      <c r="B135" s="193">
        <v>1</v>
      </c>
      <c r="C135" s="193">
        <v>2</v>
      </c>
      <c r="D135" s="193"/>
      <c r="E135" s="193">
        <v>8</v>
      </c>
      <c r="F135" s="200" t="s">
        <v>842</v>
      </c>
      <c r="G135" s="201"/>
    </row>
    <row r="136" spans="1:7" ht="12.75">
      <c r="A136" s="196">
        <v>4</v>
      </c>
      <c r="B136" s="193">
        <v>1</v>
      </c>
      <c r="C136" s="193">
        <v>2</v>
      </c>
      <c r="D136" s="193"/>
      <c r="E136" s="193">
        <v>9</v>
      </c>
      <c r="F136" s="200" t="s">
        <v>843</v>
      </c>
      <c r="G136" s="201">
        <f>1000-160</f>
        <v>840</v>
      </c>
    </row>
    <row r="137" spans="1:7" ht="12.75">
      <c r="A137" s="196">
        <v>4</v>
      </c>
      <c r="B137" s="193">
        <v>1</v>
      </c>
      <c r="C137" s="193">
        <v>2</v>
      </c>
      <c r="D137" s="193"/>
      <c r="E137" s="193">
        <v>10</v>
      </c>
      <c r="F137" s="200" t="s">
        <v>844</v>
      </c>
      <c r="G137" s="201"/>
    </row>
    <row r="138" spans="1:7" ht="12.75">
      <c r="A138" s="196">
        <v>4</v>
      </c>
      <c r="B138" s="193">
        <v>1</v>
      </c>
      <c r="C138" s="193">
        <v>2</v>
      </c>
      <c r="D138" s="193"/>
      <c r="E138" s="193">
        <v>11</v>
      </c>
      <c r="F138" s="200" t="s">
        <v>845</v>
      </c>
      <c r="G138" s="201">
        <f>3100-490</f>
        <v>2610</v>
      </c>
    </row>
    <row r="139" spans="1:7" ht="12.75">
      <c r="A139" s="196">
        <v>4</v>
      </c>
      <c r="B139" s="193">
        <v>1</v>
      </c>
      <c r="C139" s="193">
        <v>2</v>
      </c>
      <c r="D139" s="193"/>
      <c r="E139" s="193">
        <v>12</v>
      </c>
      <c r="F139" s="200" t="s">
        <v>846</v>
      </c>
      <c r="G139" s="201">
        <f>2500-400</f>
        <v>2100</v>
      </c>
    </row>
    <row r="140" spans="1:7" ht="12.75">
      <c r="A140" s="196">
        <v>4</v>
      </c>
      <c r="B140" s="193">
        <v>1</v>
      </c>
      <c r="C140" s="193">
        <v>2</v>
      </c>
      <c r="D140" s="193"/>
      <c r="E140" s="193">
        <v>13</v>
      </c>
      <c r="F140" s="200" t="s">
        <v>847</v>
      </c>
      <c r="G140" s="201">
        <f>5000-800</f>
        <v>4200</v>
      </c>
    </row>
    <row r="141" spans="1:7" ht="12.75">
      <c r="A141" s="196">
        <v>4</v>
      </c>
      <c r="B141" s="193">
        <v>1</v>
      </c>
      <c r="C141" s="193">
        <v>2</v>
      </c>
      <c r="D141" s="193"/>
      <c r="E141" s="193">
        <v>14</v>
      </c>
      <c r="F141" s="200" t="s">
        <v>848</v>
      </c>
      <c r="G141" s="201">
        <f>2500-400</f>
        <v>2100</v>
      </c>
    </row>
    <row r="142" spans="1:7" ht="12.75">
      <c r="A142" s="196">
        <v>4</v>
      </c>
      <c r="B142" s="193">
        <v>1</v>
      </c>
      <c r="C142" s="193">
        <v>2</v>
      </c>
      <c r="D142" s="193"/>
      <c r="E142" s="193">
        <v>15</v>
      </c>
      <c r="F142" s="200" t="s">
        <v>849</v>
      </c>
      <c r="G142" s="201"/>
    </row>
    <row r="143" spans="1:7" ht="12.75">
      <c r="A143" s="196">
        <v>4</v>
      </c>
      <c r="B143" s="193">
        <v>1</v>
      </c>
      <c r="C143" s="193">
        <v>2</v>
      </c>
      <c r="D143" s="193"/>
      <c r="E143" s="193">
        <v>16</v>
      </c>
      <c r="F143" s="200" t="s">
        <v>850</v>
      </c>
      <c r="G143" s="201"/>
    </row>
    <row r="144" spans="1:7" ht="12.75">
      <c r="A144" s="196">
        <v>4</v>
      </c>
      <c r="B144" s="193">
        <v>1</v>
      </c>
      <c r="C144" s="193">
        <v>2</v>
      </c>
      <c r="D144" s="193"/>
      <c r="E144" s="193">
        <v>17</v>
      </c>
      <c r="F144" s="200" t="s">
        <v>851</v>
      </c>
      <c r="G144" s="201">
        <f>37640-6020-12000</f>
        <v>19620</v>
      </c>
    </row>
    <row r="145" spans="1:7" ht="12.75">
      <c r="A145" s="196">
        <v>4</v>
      </c>
      <c r="B145" s="193">
        <v>1</v>
      </c>
      <c r="C145" s="193">
        <v>2</v>
      </c>
      <c r="D145" s="193"/>
      <c r="E145" s="193">
        <v>18</v>
      </c>
      <c r="F145" s="200" t="s">
        <v>852</v>
      </c>
      <c r="G145" s="201"/>
    </row>
    <row r="146" spans="1:7" ht="12.75">
      <c r="A146" s="196">
        <v>4</v>
      </c>
      <c r="B146" s="193">
        <v>1</v>
      </c>
      <c r="C146" s="193">
        <v>2</v>
      </c>
      <c r="D146" s="193"/>
      <c r="E146" s="193">
        <v>19</v>
      </c>
      <c r="F146" s="200" t="s">
        <v>853</v>
      </c>
      <c r="G146" s="201"/>
    </row>
    <row r="147" spans="1:7" ht="12.75">
      <c r="A147" s="196">
        <v>4</v>
      </c>
      <c r="B147" s="193">
        <v>1</v>
      </c>
      <c r="C147" s="193">
        <v>3</v>
      </c>
      <c r="D147" s="193"/>
      <c r="E147" s="197"/>
      <c r="F147" s="198" t="s">
        <v>646</v>
      </c>
      <c r="G147" s="199">
        <f>+SUM(G148:G169)</f>
        <v>92840</v>
      </c>
    </row>
    <row r="148" spans="1:7" ht="12.75">
      <c r="A148" s="196">
        <v>4</v>
      </c>
      <c r="B148" s="193">
        <v>1</v>
      </c>
      <c r="C148" s="193">
        <v>3</v>
      </c>
      <c r="D148" s="193"/>
      <c r="E148" s="193">
        <v>1</v>
      </c>
      <c r="F148" s="200" t="s">
        <v>854</v>
      </c>
      <c r="G148" s="201"/>
    </row>
    <row r="149" spans="1:7" ht="12.75">
      <c r="A149" s="196">
        <v>4</v>
      </c>
      <c r="B149" s="193">
        <v>1</v>
      </c>
      <c r="C149" s="193">
        <v>3</v>
      </c>
      <c r="D149" s="193"/>
      <c r="E149" s="193">
        <v>2</v>
      </c>
      <c r="F149" s="200" t="s">
        <v>855</v>
      </c>
      <c r="G149" s="201">
        <f>3500-560</f>
        <v>2940</v>
      </c>
    </row>
    <row r="150" spans="1:7" ht="12.75">
      <c r="A150" s="196">
        <v>4</v>
      </c>
      <c r="B150" s="193">
        <v>1</v>
      </c>
      <c r="C150" s="193">
        <v>3</v>
      </c>
      <c r="D150" s="193"/>
      <c r="E150" s="193">
        <v>3</v>
      </c>
      <c r="F150" s="200" t="s">
        <v>856</v>
      </c>
      <c r="G150" s="201"/>
    </row>
    <row r="151" spans="1:7" ht="12.75">
      <c r="A151" s="196">
        <v>4</v>
      </c>
      <c r="B151" s="193">
        <v>1</v>
      </c>
      <c r="C151" s="193">
        <v>3</v>
      </c>
      <c r="D151" s="193"/>
      <c r="E151" s="193">
        <v>4</v>
      </c>
      <c r="F151" s="200" t="s">
        <v>857</v>
      </c>
      <c r="G151" s="201"/>
    </row>
    <row r="152" spans="1:7" ht="12.75">
      <c r="A152" s="196">
        <v>4</v>
      </c>
      <c r="B152" s="193">
        <v>1</v>
      </c>
      <c r="C152" s="193">
        <v>3</v>
      </c>
      <c r="D152" s="193"/>
      <c r="E152" s="193">
        <v>5</v>
      </c>
      <c r="F152" s="200" t="s">
        <v>858</v>
      </c>
      <c r="G152" s="201">
        <f>10000-1600</f>
        <v>8400</v>
      </c>
    </row>
    <row r="153" spans="1:7" ht="12.75">
      <c r="A153" s="196">
        <v>4</v>
      </c>
      <c r="B153" s="193">
        <v>1</v>
      </c>
      <c r="C153" s="193">
        <v>3</v>
      </c>
      <c r="D153" s="193"/>
      <c r="E153" s="193">
        <v>6</v>
      </c>
      <c r="F153" s="200" t="s">
        <v>859</v>
      </c>
      <c r="G153" s="201">
        <f>3000-480</f>
        <v>2520</v>
      </c>
    </row>
    <row r="154" spans="1:7" ht="12.75">
      <c r="A154" s="196">
        <v>4</v>
      </c>
      <c r="B154" s="193">
        <v>1</v>
      </c>
      <c r="C154" s="193">
        <v>3</v>
      </c>
      <c r="D154" s="193"/>
      <c r="E154" s="193">
        <v>7</v>
      </c>
      <c r="F154" s="200" t="s">
        <v>860</v>
      </c>
      <c r="G154" s="201">
        <f>30000-4800-10900</f>
        <v>14300</v>
      </c>
    </row>
    <row r="155" spans="1:7" ht="12.75">
      <c r="A155" s="196">
        <v>4</v>
      </c>
      <c r="B155" s="193">
        <v>1</v>
      </c>
      <c r="C155" s="193">
        <v>3</v>
      </c>
      <c r="D155" s="193"/>
      <c r="E155" s="193">
        <v>8</v>
      </c>
      <c r="F155" s="200" t="s">
        <v>861</v>
      </c>
      <c r="G155" s="201"/>
    </row>
    <row r="156" spans="1:7" ht="12.75">
      <c r="A156" s="196">
        <v>4</v>
      </c>
      <c r="B156" s="193">
        <v>1</v>
      </c>
      <c r="C156" s="193">
        <v>3</v>
      </c>
      <c r="D156" s="193"/>
      <c r="E156" s="193">
        <v>9</v>
      </c>
      <c r="F156" s="200" t="s">
        <v>862</v>
      </c>
      <c r="G156" s="201">
        <f>10000-1600</f>
        <v>8400</v>
      </c>
    </row>
    <row r="157" spans="1:7" ht="12.75">
      <c r="A157" s="196">
        <v>4</v>
      </c>
      <c r="B157" s="193">
        <v>1</v>
      </c>
      <c r="C157" s="193">
        <v>3</v>
      </c>
      <c r="D157" s="193"/>
      <c r="E157" s="193">
        <v>10</v>
      </c>
      <c r="F157" s="200" t="s">
        <v>863</v>
      </c>
      <c r="G157" s="201">
        <f>10000-1600</f>
        <v>8400</v>
      </c>
    </row>
    <row r="158" spans="1:7" ht="12.75">
      <c r="A158" s="196">
        <v>4</v>
      </c>
      <c r="B158" s="193">
        <v>1</v>
      </c>
      <c r="C158" s="193">
        <v>3</v>
      </c>
      <c r="D158" s="193"/>
      <c r="E158" s="193">
        <v>11</v>
      </c>
      <c r="F158" s="200" t="s">
        <v>864</v>
      </c>
      <c r="G158" s="201"/>
    </row>
    <row r="159" spans="1:7" ht="12.75">
      <c r="A159" s="196">
        <v>4</v>
      </c>
      <c r="B159" s="193">
        <v>1</v>
      </c>
      <c r="C159" s="193">
        <v>3</v>
      </c>
      <c r="D159" s="193"/>
      <c r="E159" s="193">
        <v>12</v>
      </c>
      <c r="F159" s="200" t="s">
        <v>865</v>
      </c>
      <c r="G159" s="201"/>
    </row>
    <row r="160" spans="1:7" ht="12.75">
      <c r="A160" s="196">
        <v>4</v>
      </c>
      <c r="B160" s="193">
        <v>1</v>
      </c>
      <c r="C160" s="193">
        <v>3</v>
      </c>
      <c r="D160" s="193"/>
      <c r="E160" s="193">
        <v>13</v>
      </c>
      <c r="F160" s="200" t="s">
        <v>866</v>
      </c>
      <c r="G160" s="201"/>
    </row>
    <row r="161" spans="1:7" ht="12.75">
      <c r="A161" s="196">
        <v>4</v>
      </c>
      <c r="B161" s="193">
        <v>1</v>
      </c>
      <c r="C161" s="193">
        <v>3</v>
      </c>
      <c r="D161" s="193"/>
      <c r="E161" s="193">
        <v>14</v>
      </c>
      <c r="F161" s="200" t="s">
        <v>867</v>
      </c>
      <c r="G161" s="201"/>
    </row>
    <row r="162" spans="1:7" ht="12.75">
      <c r="A162" s="196">
        <v>4</v>
      </c>
      <c r="B162" s="193">
        <v>1</v>
      </c>
      <c r="C162" s="193">
        <v>3</v>
      </c>
      <c r="D162" s="193"/>
      <c r="E162" s="193">
        <v>15</v>
      </c>
      <c r="F162" s="200" t="s">
        <v>868</v>
      </c>
      <c r="G162" s="201"/>
    </row>
    <row r="163" spans="1:7" ht="12.75">
      <c r="A163" s="196">
        <v>4</v>
      </c>
      <c r="B163" s="193">
        <v>1</v>
      </c>
      <c r="C163" s="193">
        <v>3</v>
      </c>
      <c r="D163" s="193"/>
      <c r="E163" s="193">
        <v>16</v>
      </c>
      <c r="F163" s="200" t="s">
        <v>869</v>
      </c>
      <c r="G163" s="201">
        <f>1000-160</f>
        <v>840</v>
      </c>
    </row>
    <row r="164" spans="1:7" ht="12.75">
      <c r="A164" s="196">
        <v>4</v>
      </c>
      <c r="B164" s="193">
        <v>1</v>
      </c>
      <c r="C164" s="193">
        <v>3</v>
      </c>
      <c r="D164" s="193"/>
      <c r="E164" s="193">
        <v>17</v>
      </c>
      <c r="F164" s="200" t="s">
        <v>870</v>
      </c>
      <c r="G164" s="201">
        <f>10000-1600</f>
        <v>8400</v>
      </c>
    </row>
    <row r="165" spans="1:7" ht="12.75">
      <c r="A165" s="196">
        <v>4</v>
      </c>
      <c r="B165" s="193">
        <v>1</v>
      </c>
      <c r="C165" s="193">
        <v>3</v>
      </c>
      <c r="D165" s="193"/>
      <c r="E165" s="193">
        <v>18</v>
      </c>
      <c r="F165" s="200" t="s">
        <v>871</v>
      </c>
      <c r="G165" s="201"/>
    </row>
    <row r="166" spans="1:7" ht="12.75">
      <c r="A166" s="196">
        <v>4</v>
      </c>
      <c r="B166" s="193">
        <v>1</v>
      </c>
      <c r="C166" s="193">
        <v>3</v>
      </c>
      <c r="D166" s="193"/>
      <c r="E166" s="193">
        <v>19</v>
      </c>
      <c r="F166" s="200" t="s">
        <v>872</v>
      </c>
      <c r="G166" s="201"/>
    </row>
    <row r="167" spans="1:7" ht="12.75">
      <c r="A167" s="196">
        <v>4</v>
      </c>
      <c r="B167" s="193">
        <v>1</v>
      </c>
      <c r="C167" s="193">
        <v>3</v>
      </c>
      <c r="D167" s="193"/>
      <c r="E167" s="193">
        <v>20</v>
      </c>
      <c r="F167" s="200" t="s">
        <v>873</v>
      </c>
      <c r="G167" s="201">
        <f>5000-800</f>
        <v>4200</v>
      </c>
    </row>
    <row r="168" spans="1:7" ht="12.75">
      <c r="A168" s="196">
        <v>4</v>
      </c>
      <c r="B168" s="193">
        <v>1</v>
      </c>
      <c r="C168" s="193">
        <v>3</v>
      </c>
      <c r="D168" s="193"/>
      <c r="E168" s="193">
        <v>21</v>
      </c>
      <c r="F168" s="200" t="s">
        <v>874</v>
      </c>
      <c r="G168" s="201">
        <f>5000-800</f>
        <v>4200</v>
      </c>
    </row>
    <row r="169" spans="1:7" ht="12.75">
      <c r="A169" s="196">
        <v>4</v>
      </c>
      <c r="B169" s="193">
        <v>1</v>
      </c>
      <c r="C169" s="193">
        <v>3</v>
      </c>
      <c r="D169" s="193"/>
      <c r="E169" s="193" t="s">
        <v>106</v>
      </c>
      <c r="F169" s="200" t="s">
        <v>117</v>
      </c>
      <c r="G169" s="201">
        <f>36000-5760</f>
        <v>30240</v>
      </c>
    </row>
    <row r="170" spans="1:7" ht="12.75">
      <c r="A170" s="196">
        <v>5</v>
      </c>
      <c r="B170" s="193">
        <v>1</v>
      </c>
      <c r="C170" s="193">
        <v>1</v>
      </c>
      <c r="D170" s="193"/>
      <c r="E170" s="197"/>
      <c r="F170" s="198" t="s">
        <v>649</v>
      </c>
      <c r="G170" s="199">
        <f>+SUM(G171:G181)</f>
        <v>28440</v>
      </c>
    </row>
    <row r="171" spans="1:7" ht="12.75">
      <c r="A171" s="196">
        <v>5</v>
      </c>
      <c r="B171" s="193">
        <v>1</v>
      </c>
      <c r="C171" s="193">
        <v>1</v>
      </c>
      <c r="D171" s="193"/>
      <c r="E171" s="193">
        <v>1</v>
      </c>
      <c r="F171" s="200" t="s">
        <v>875</v>
      </c>
      <c r="G171" s="201"/>
    </row>
    <row r="172" spans="1:7" ht="12.75">
      <c r="A172" s="196">
        <v>5</v>
      </c>
      <c r="B172" s="193">
        <v>1</v>
      </c>
      <c r="C172" s="193">
        <v>1</v>
      </c>
      <c r="D172" s="193"/>
      <c r="E172" s="193">
        <v>2</v>
      </c>
      <c r="F172" s="200" t="s">
        <v>876</v>
      </c>
      <c r="G172" s="201">
        <f>1000-160</f>
        <v>840</v>
      </c>
    </row>
    <row r="173" spans="1:7" ht="12.75">
      <c r="A173" s="196">
        <v>5</v>
      </c>
      <c r="B173" s="193">
        <v>1</v>
      </c>
      <c r="C173" s="193">
        <v>1</v>
      </c>
      <c r="D173" s="193"/>
      <c r="E173" s="193">
        <v>3</v>
      </c>
      <c r="F173" s="200" t="s">
        <v>877</v>
      </c>
      <c r="G173" s="201">
        <f>30000-4800-6000</f>
        <v>19200</v>
      </c>
    </row>
    <row r="174" spans="1:7" ht="12.75">
      <c r="A174" s="196">
        <v>5</v>
      </c>
      <c r="B174" s="193">
        <v>1</v>
      </c>
      <c r="C174" s="193">
        <v>1</v>
      </c>
      <c r="D174" s="193"/>
      <c r="E174" s="193">
        <v>4</v>
      </c>
      <c r="F174" s="200" t="s">
        <v>878</v>
      </c>
      <c r="G174" s="201"/>
    </row>
    <row r="175" spans="1:7" ht="12.75">
      <c r="A175" s="196">
        <v>5</v>
      </c>
      <c r="B175" s="193">
        <v>1</v>
      </c>
      <c r="C175" s="193">
        <v>1</v>
      </c>
      <c r="D175" s="193"/>
      <c r="E175" s="193">
        <v>5</v>
      </c>
      <c r="F175" s="200" t="s">
        <v>879</v>
      </c>
      <c r="G175" s="201"/>
    </row>
    <row r="176" spans="1:7" ht="12.75">
      <c r="A176" s="196">
        <v>5</v>
      </c>
      <c r="B176" s="193">
        <v>1</v>
      </c>
      <c r="C176" s="193">
        <v>1</v>
      </c>
      <c r="D176" s="193"/>
      <c r="E176" s="193">
        <v>6</v>
      </c>
      <c r="F176" s="200" t="s">
        <v>880</v>
      </c>
      <c r="G176" s="201"/>
    </row>
    <row r="177" spans="1:7" ht="12.75">
      <c r="A177" s="196">
        <v>5</v>
      </c>
      <c r="B177" s="193">
        <v>1</v>
      </c>
      <c r="C177" s="193">
        <v>1</v>
      </c>
      <c r="D177" s="193"/>
      <c r="E177" s="193">
        <v>7</v>
      </c>
      <c r="F177" s="200" t="s">
        <v>893</v>
      </c>
      <c r="G177" s="201"/>
    </row>
    <row r="178" spans="1:7" ht="12.75">
      <c r="A178" s="196">
        <v>5</v>
      </c>
      <c r="B178" s="193">
        <v>1</v>
      </c>
      <c r="C178" s="193">
        <v>1</v>
      </c>
      <c r="D178" s="193"/>
      <c r="E178" s="193">
        <v>8</v>
      </c>
      <c r="F178" s="200" t="s">
        <v>894</v>
      </c>
      <c r="G178" s="201">
        <f>3000-480</f>
        <v>2520</v>
      </c>
    </row>
    <row r="179" spans="1:7" ht="12.75">
      <c r="A179" s="196">
        <v>5</v>
      </c>
      <c r="B179" s="193">
        <v>1</v>
      </c>
      <c r="C179" s="193">
        <v>1</v>
      </c>
      <c r="D179" s="193"/>
      <c r="E179" s="193">
        <v>9</v>
      </c>
      <c r="F179" s="200" t="s">
        <v>897</v>
      </c>
      <c r="G179" s="201"/>
    </row>
    <row r="180" spans="1:7" ht="12.75">
      <c r="A180" s="196">
        <v>5</v>
      </c>
      <c r="B180" s="193">
        <v>1</v>
      </c>
      <c r="C180" s="193">
        <v>1</v>
      </c>
      <c r="D180" s="193"/>
      <c r="E180" s="193">
        <v>10</v>
      </c>
      <c r="F180" s="200" t="s">
        <v>895</v>
      </c>
      <c r="G180" s="201">
        <f>2000-320</f>
        <v>1680</v>
      </c>
    </row>
    <row r="181" spans="1:7" ht="13.5" thickBot="1">
      <c r="A181" s="204">
        <v>5</v>
      </c>
      <c r="B181" s="205">
        <v>1</v>
      </c>
      <c r="C181" s="205">
        <v>1</v>
      </c>
      <c r="D181" s="205"/>
      <c r="E181" s="205" t="s">
        <v>911</v>
      </c>
      <c r="F181" s="207" t="s">
        <v>738</v>
      </c>
      <c r="G181" s="208">
        <f>5000-800</f>
        <v>4200</v>
      </c>
    </row>
    <row r="182" spans="6:7" ht="13.5" thickBot="1">
      <c r="F182" s="295" t="s">
        <v>690</v>
      </c>
      <c r="G182" s="184">
        <f>+G97+G112+G127+G147+G170</f>
        <v>216710</v>
      </c>
    </row>
  </sheetData>
  <sheetProtection/>
  <mergeCells count="4">
    <mergeCell ref="A2:G2"/>
    <mergeCell ref="A4:E4"/>
    <mergeCell ref="A93:G93"/>
    <mergeCell ref="A95:E9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66" r:id="rId1"/>
  <rowBreaks count="1" manualBreakCount="1">
    <brk id="9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27"/>
  <sheetViews>
    <sheetView zoomScale="75" zoomScaleNormal="75" zoomScaleSheetLayoutView="75" zoomScalePageLayoutView="0" workbookViewId="0" topLeftCell="A4">
      <selection activeCell="H28" sqref="H28"/>
    </sheetView>
  </sheetViews>
  <sheetFormatPr defaultColWidth="11.421875" defaultRowHeight="12.75"/>
  <cols>
    <col min="1" max="1" width="7.421875" style="0" customWidth="1"/>
    <col min="2" max="2" width="5.8515625" style="0" bestFit="1" customWidth="1"/>
    <col min="3" max="3" width="7.57421875" style="0" customWidth="1"/>
    <col min="4" max="4" width="8.28125" style="0" bestFit="1" customWidth="1"/>
    <col min="5" max="5" width="7.00390625" style="0" bestFit="1" customWidth="1"/>
    <col min="6" max="6" width="55.8515625" style="0" customWidth="1"/>
    <col min="7" max="7" width="16.28125" style="12" customWidth="1"/>
  </cols>
  <sheetData>
    <row r="1" spans="1:7" ht="12.75">
      <c r="A1" s="67">
        <f>+'serv.espec.'!A1</f>
        <v>0</v>
      </c>
      <c r="B1" s="48"/>
      <c r="C1" s="48"/>
      <c r="D1" s="48"/>
      <c r="E1" s="48"/>
      <c r="F1" s="48"/>
      <c r="G1" s="68"/>
    </row>
    <row r="2" spans="1:7" ht="15">
      <c r="A2" s="761" t="s">
        <v>382</v>
      </c>
      <c r="B2" s="761"/>
      <c r="C2" s="761"/>
      <c r="D2" s="761"/>
      <c r="E2" s="761"/>
      <c r="F2" s="761"/>
      <c r="G2" s="761"/>
    </row>
    <row r="3" spans="1:7" ht="13.5" thickBot="1">
      <c r="A3" s="33" t="s">
        <v>711</v>
      </c>
      <c r="B3" s="48"/>
      <c r="C3" s="48"/>
      <c r="D3" s="48"/>
      <c r="E3" s="48"/>
      <c r="F3" s="48"/>
      <c r="G3" s="14">
        <v>811</v>
      </c>
    </row>
    <row r="4" spans="1:7" ht="13.5" thickBot="1">
      <c r="A4" s="771" t="s">
        <v>621</v>
      </c>
      <c r="B4" s="772"/>
      <c r="C4" s="772"/>
      <c r="D4" s="772"/>
      <c r="E4" s="772"/>
      <c r="F4" s="293" t="s">
        <v>657</v>
      </c>
      <c r="G4" s="293" t="s">
        <v>658</v>
      </c>
    </row>
    <row r="5" spans="1:7" ht="13.5" thickBot="1">
      <c r="A5" s="242" t="s">
        <v>659</v>
      </c>
      <c r="B5" s="242" t="s">
        <v>660</v>
      </c>
      <c r="C5" s="242" t="s">
        <v>661</v>
      </c>
      <c r="D5" s="242" t="s">
        <v>625</v>
      </c>
      <c r="E5" s="292" t="s">
        <v>662</v>
      </c>
      <c r="F5" s="294" t="s">
        <v>663</v>
      </c>
      <c r="G5" s="294"/>
    </row>
    <row r="6" spans="1:7" ht="12.75">
      <c r="A6" s="187">
        <v>4</v>
      </c>
      <c r="B6" s="188"/>
      <c r="C6" s="188"/>
      <c r="D6" s="188"/>
      <c r="E6" s="209"/>
      <c r="F6" s="210" t="s">
        <v>539</v>
      </c>
      <c r="G6" s="212">
        <f>+G7+G13+G15</f>
        <v>1159630</v>
      </c>
    </row>
    <row r="7" spans="1:7" ht="12.75">
      <c r="A7" s="196">
        <v>4</v>
      </c>
      <c r="B7" s="193">
        <v>1</v>
      </c>
      <c r="C7" s="193"/>
      <c r="D7" s="193"/>
      <c r="E7" s="197"/>
      <c r="F7" s="198" t="s">
        <v>664</v>
      </c>
      <c r="G7" s="199">
        <f>+G8+G11+G12</f>
        <v>1159630</v>
      </c>
    </row>
    <row r="8" spans="1:7" ht="12.75">
      <c r="A8" s="196">
        <v>4</v>
      </c>
      <c r="B8" s="193">
        <v>1</v>
      </c>
      <c r="C8" s="193">
        <v>1</v>
      </c>
      <c r="D8" s="193"/>
      <c r="E8" s="197"/>
      <c r="F8" s="198" t="s">
        <v>644</v>
      </c>
      <c r="G8" s="199">
        <f>+G9+G10</f>
        <v>1056750</v>
      </c>
    </row>
    <row r="9" spans="1:7" ht="12.75">
      <c r="A9" s="196">
        <v>4</v>
      </c>
      <c r="B9" s="193">
        <v>1</v>
      </c>
      <c r="C9" s="193">
        <v>1</v>
      </c>
      <c r="D9" s="193">
        <v>1</v>
      </c>
      <c r="E9" s="197"/>
      <c r="F9" s="198" t="s">
        <v>665</v>
      </c>
      <c r="G9" s="199">
        <f>+ANEXO7!G6</f>
        <v>1056750</v>
      </c>
    </row>
    <row r="10" spans="1:7" ht="12.75">
      <c r="A10" s="196">
        <v>4</v>
      </c>
      <c r="B10" s="193">
        <v>1</v>
      </c>
      <c r="C10" s="193">
        <v>1</v>
      </c>
      <c r="D10" s="193">
        <v>2</v>
      </c>
      <c r="E10" s="197"/>
      <c r="F10" s="198" t="s">
        <v>682</v>
      </c>
      <c r="G10" s="199">
        <f>+ANEXO7!G21</f>
        <v>0</v>
      </c>
    </row>
    <row r="11" spans="1:7" ht="12.75">
      <c r="A11" s="196">
        <v>4</v>
      </c>
      <c r="B11" s="193">
        <v>1</v>
      </c>
      <c r="C11" s="193">
        <v>2</v>
      </c>
      <c r="D11" s="193"/>
      <c r="E11" s="197"/>
      <c r="F11" s="198" t="s">
        <v>645</v>
      </c>
      <c r="G11" s="199">
        <f>+ANEXO7!G36</f>
        <v>56440</v>
      </c>
    </row>
    <row r="12" spans="1:7" ht="12.75">
      <c r="A12" s="196">
        <v>4</v>
      </c>
      <c r="B12" s="193">
        <v>1</v>
      </c>
      <c r="C12" s="193">
        <v>3</v>
      </c>
      <c r="D12" s="193"/>
      <c r="E12" s="197"/>
      <c r="F12" s="198" t="s">
        <v>646</v>
      </c>
      <c r="G12" s="199">
        <f>+ANEXO7!G55</f>
        <v>46440</v>
      </c>
    </row>
    <row r="13" spans="1:7" ht="12.75">
      <c r="A13" s="196">
        <v>4</v>
      </c>
      <c r="B13" s="193">
        <v>2</v>
      </c>
      <c r="C13" s="193"/>
      <c r="D13" s="193"/>
      <c r="E13" s="197"/>
      <c r="F13" s="198" t="s">
        <v>683</v>
      </c>
      <c r="G13" s="199">
        <f>+G14</f>
        <v>0</v>
      </c>
    </row>
    <row r="14" spans="1:7" ht="12.75">
      <c r="A14" s="196">
        <v>4</v>
      </c>
      <c r="B14" s="193">
        <v>2</v>
      </c>
      <c r="C14" s="193">
        <v>1</v>
      </c>
      <c r="D14" s="193"/>
      <c r="E14" s="197"/>
      <c r="F14" s="198" t="s">
        <v>684</v>
      </c>
      <c r="G14" s="201"/>
    </row>
    <row r="15" spans="1:7" ht="12.75">
      <c r="A15" s="196">
        <v>4</v>
      </c>
      <c r="B15" s="193">
        <v>3</v>
      </c>
      <c r="C15" s="193"/>
      <c r="D15" s="193"/>
      <c r="E15" s="197"/>
      <c r="F15" s="198" t="s">
        <v>685</v>
      </c>
      <c r="G15" s="199">
        <f>+G16</f>
        <v>0</v>
      </c>
    </row>
    <row r="16" spans="1:7" ht="12.75">
      <c r="A16" s="196">
        <v>4</v>
      </c>
      <c r="B16" s="193">
        <v>3</v>
      </c>
      <c r="C16" s="193">
        <v>1</v>
      </c>
      <c r="D16" s="193"/>
      <c r="E16" s="197"/>
      <c r="F16" s="198" t="s">
        <v>648</v>
      </c>
      <c r="G16" s="201"/>
    </row>
    <row r="17" spans="1:7" ht="12.75">
      <c r="A17" s="191">
        <v>5</v>
      </c>
      <c r="B17" s="193"/>
      <c r="C17" s="193"/>
      <c r="D17" s="193"/>
      <c r="E17" s="197"/>
      <c r="F17" s="198" t="s">
        <v>548</v>
      </c>
      <c r="G17" s="199">
        <f>+G18+G21+G22</f>
        <v>55850</v>
      </c>
    </row>
    <row r="18" spans="1:7" ht="12.75">
      <c r="A18" s="196">
        <v>5</v>
      </c>
      <c r="B18" s="193">
        <v>1</v>
      </c>
      <c r="C18" s="193"/>
      <c r="D18" s="193"/>
      <c r="E18" s="197"/>
      <c r="F18" s="198" t="s">
        <v>686</v>
      </c>
      <c r="G18" s="199">
        <f>+G19+G20</f>
        <v>55850</v>
      </c>
    </row>
    <row r="19" spans="1:7" ht="12.75">
      <c r="A19" s="196">
        <v>5</v>
      </c>
      <c r="B19" s="193">
        <v>1</v>
      </c>
      <c r="C19" s="193">
        <v>1</v>
      </c>
      <c r="D19" s="193"/>
      <c r="E19" s="197"/>
      <c r="F19" s="198" t="s">
        <v>649</v>
      </c>
      <c r="G19" s="201">
        <f>+ANEXO7!G78</f>
        <v>55850</v>
      </c>
    </row>
    <row r="20" spans="1:7" ht="12.75">
      <c r="A20" s="196">
        <v>5</v>
      </c>
      <c r="B20" s="193">
        <v>1</v>
      </c>
      <c r="C20" s="193">
        <v>2</v>
      </c>
      <c r="D20" s="193"/>
      <c r="E20" s="193"/>
      <c r="F20" s="198" t="s">
        <v>650</v>
      </c>
      <c r="G20" s="201">
        <v>0</v>
      </c>
    </row>
    <row r="21" spans="1:7" ht="12.75">
      <c r="A21" s="196">
        <v>5</v>
      </c>
      <c r="B21" s="193">
        <v>2</v>
      </c>
      <c r="C21" s="193"/>
      <c r="D21" s="193"/>
      <c r="E21" s="193"/>
      <c r="F21" s="198" t="s">
        <v>687</v>
      </c>
      <c r="G21" s="199">
        <v>0</v>
      </c>
    </row>
    <row r="22" spans="1:7" ht="12.75">
      <c r="A22" s="196">
        <v>5</v>
      </c>
      <c r="B22" s="193">
        <v>3</v>
      </c>
      <c r="C22" s="193"/>
      <c r="D22" s="193"/>
      <c r="E22" s="193"/>
      <c r="F22" s="198" t="s">
        <v>688</v>
      </c>
      <c r="G22" s="199">
        <f>+G23</f>
        <v>0</v>
      </c>
    </row>
    <row r="23" spans="1:7" ht="12.75">
      <c r="A23" s="196">
        <v>5</v>
      </c>
      <c r="B23" s="193">
        <v>3</v>
      </c>
      <c r="C23" s="193">
        <v>1</v>
      </c>
      <c r="D23" s="193"/>
      <c r="E23" s="193"/>
      <c r="F23" s="198" t="s">
        <v>651</v>
      </c>
      <c r="G23" s="201">
        <v>0</v>
      </c>
    </row>
    <row r="24" spans="1:7" ht="12.75">
      <c r="A24" s="191">
        <v>6</v>
      </c>
      <c r="B24" s="193"/>
      <c r="C24" s="193"/>
      <c r="D24" s="193"/>
      <c r="E24" s="193"/>
      <c r="F24" s="198" t="s">
        <v>553</v>
      </c>
      <c r="G24" s="199">
        <f>+G25</f>
        <v>0</v>
      </c>
    </row>
    <row r="25" spans="1:7" ht="12.75">
      <c r="A25" s="196">
        <v>6</v>
      </c>
      <c r="B25" s="193">
        <v>1</v>
      </c>
      <c r="C25" s="193"/>
      <c r="D25" s="193"/>
      <c r="E25" s="193"/>
      <c r="F25" s="198" t="s">
        <v>689</v>
      </c>
      <c r="G25" s="199">
        <f>+G26</f>
        <v>0</v>
      </c>
    </row>
    <row r="26" spans="1:7" ht="13.5" thickBot="1">
      <c r="A26" s="204">
        <v>6</v>
      </c>
      <c r="B26" s="205">
        <v>1</v>
      </c>
      <c r="C26" s="205">
        <v>1</v>
      </c>
      <c r="D26" s="205"/>
      <c r="E26" s="205"/>
      <c r="F26" s="271" t="s">
        <v>652</v>
      </c>
      <c r="G26" s="208">
        <v>0</v>
      </c>
    </row>
    <row r="27" spans="1:7" ht="13.5" thickBot="1">
      <c r="A27" s="48"/>
      <c r="B27" s="48"/>
      <c r="C27" s="48"/>
      <c r="D27" s="48"/>
      <c r="E27" s="48"/>
      <c r="F27" s="296" t="s">
        <v>690</v>
      </c>
      <c r="G27" s="173">
        <f>+G6+G17+G24</f>
        <v>1215480</v>
      </c>
    </row>
  </sheetData>
  <sheetProtection/>
  <mergeCells count="2">
    <mergeCell ref="A2:G2"/>
    <mergeCell ref="A4:E4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81"/>
  <sheetViews>
    <sheetView zoomScale="75" zoomScaleNormal="75" zoomScaleSheetLayoutView="75" zoomScalePageLayoutView="0" workbookViewId="0" topLeftCell="A34">
      <selection activeCell="G89" sqref="G89"/>
    </sheetView>
  </sheetViews>
  <sheetFormatPr defaultColWidth="11.421875" defaultRowHeight="12.75"/>
  <cols>
    <col min="1" max="1" width="7.8515625" style="48" customWidth="1"/>
    <col min="2" max="2" width="6.57421875" style="48" bestFit="1" customWidth="1"/>
    <col min="3" max="3" width="8.28125" style="48" bestFit="1" customWidth="1"/>
    <col min="4" max="4" width="9.421875" style="48" bestFit="1" customWidth="1"/>
    <col min="5" max="5" width="8.00390625" style="48" bestFit="1" customWidth="1"/>
    <col min="6" max="6" width="50.421875" style="48" bestFit="1" customWidth="1"/>
    <col min="7" max="7" width="11.28125" style="48" bestFit="1" customWidth="1"/>
  </cols>
  <sheetData>
    <row r="1" ht="12.75">
      <c r="A1" s="48">
        <f>+hcd!A1</f>
        <v>0</v>
      </c>
    </row>
    <row r="2" spans="1:7" ht="15">
      <c r="A2" s="761" t="s">
        <v>382</v>
      </c>
      <c r="B2" s="761"/>
      <c r="C2" s="761"/>
      <c r="D2" s="761"/>
      <c r="E2" s="761"/>
      <c r="F2" s="761"/>
      <c r="G2" s="761"/>
    </row>
    <row r="3" spans="1:7" ht="13.5" thickBot="1">
      <c r="A3" s="33" t="s">
        <v>711</v>
      </c>
      <c r="G3" s="14">
        <v>811</v>
      </c>
    </row>
    <row r="4" spans="1:7" ht="13.5" thickBot="1">
      <c r="A4" s="771" t="s">
        <v>621</v>
      </c>
      <c r="B4" s="772"/>
      <c r="C4" s="772"/>
      <c r="D4" s="772"/>
      <c r="E4" s="772"/>
      <c r="F4" s="293" t="s">
        <v>657</v>
      </c>
      <c r="G4" s="293" t="s">
        <v>658</v>
      </c>
    </row>
    <row r="5" spans="1:7" ht="13.5" thickBot="1">
      <c r="A5" s="242" t="s">
        <v>659</v>
      </c>
      <c r="B5" s="242" t="s">
        <v>660</v>
      </c>
      <c r="C5" s="242" t="s">
        <v>661</v>
      </c>
      <c r="D5" s="242" t="s">
        <v>625</v>
      </c>
      <c r="E5" s="292" t="s">
        <v>662</v>
      </c>
      <c r="F5" s="294" t="s">
        <v>663</v>
      </c>
      <c r="G5" s="294"/>
    </row>
    <row r="6" spans="1:7" ht="12.75">
      <c r="A6" s="211">
        <v>4</v>
      </c>
      <c r="B6" s="188">
        <v>1</v>
      </c>
      <c r="C6" s="188">
        <v>1</v>
      </c>
      <c r="D6" s="188">
        <v>1</v>
      </c>
      <c r="E6" s="209"/>
      <c r="F6" s="210" t="s">
        <v>665</v>
      </c>
      <c r="G6" s="212">
        <f>+SUM(G7:G20)</f>
        <v>1056750</v>
      </c>
    </row>
    <row r="7" spans="1:7" ht="12.75">
      <c r="A7" s="196">
        <v>4</v>
      </c>
      <c r="B7" s="193">
        <v>1</v>
      </c>
      <c r="C7" s="193">
        <v>1</v>
      </c>
      <c r="D7" s="193">
        <v>1</v>
      </c>
      <c r="E7" s="197" t="s">
        <v>666</v>
      </c>
      <c r="F7" s="200" t="s">
        <v>667</v>
      </c>
      <c r="G7" s="201">
        <f>486750-57350</f>
        <v>429400</v>
      </c>
    </row>
    <row r="8" spans="1:7" ht="12.75">
      <c r="A8" s="196">
        <v>4</v>
      </c>
      <c r="B8" s="193">
        <v>1</v>
      </c>
      <c r="C8" s="193">
        <v>1</v>
      </c>
      <c r="D8" s="193">
        <v>1</v>
      </c>
      <c r="E8" s="197" t="s">
        <v>668</v>
      </c>
      <c r="F8" s="200" t="s">
        <v>669</v>
      </c>
      <c r="G8" s="201">
        <f>50330-2510</f>
        <v>47820</v>
      </c>
    </row>
    <row r="9" spans="1:7" ht="12.75">
      <c r="A9" s="196">
        <v>4</v>
      </c>
      <c r="B9" s="193">
        <v>1</v>
      </c>
      <c r="C9" s="193">
        <v>1</v>
      </c>
      <c r="D9" s="193">
        <v>1</v>
      </c>
      <c r="E9" s="197" t="s">
        <v>670</v>
      </c>
      <c r="F9" s="200" t="s">
        <v>726</v>
      </c>
      <c r="G9" s="201">
        <v>0</v>
      </c>
    </row>
    <row r="10" spans="1:7" ht="12.75">
      <c r="A10" s="196">
        <v>4</v>
      </c>
      <c r="B10" s="193">
        <v>1</v>
      </c>
      <c r="C10" s="193">
        <v>1</v>
      </c>
      <c r="D10" s="193">
        <v>1</v>
      </c>
      <c r="E10" s="197" t="s">
        <v>672</v>
      </c>
      <c r="F10" s="200" t="s">
        <v>671</v>
      </c>
      <c r="G10" s="201">
        <f>57290-2860</f>
        <v>54430</v>
      </c>
    </row>
    <row r="11" spans="1:7" ht="12.75">
      <c r="A11" s="196">
        <v>4</v>
      </c>
      <c r="B11" s="193">
        <v>1</v>
      </c>
      <c r="C11" s="193">
        <v>1</v>
      </c>
      <c r="D11" s="193">
        <v>1</v>
      </c>
      <c r="E11" s="197" t="s">
        <v>673</v>
      </c>
      <c r="F11" s="200" t="s">
        <v>674</v>
      </c>
      <c r="G11" s="201">
        <f>232380-11610</f>
        <v>220770</v>
      </c>
    </row>
    <row r="12" spans="1:7" ht="12.75">
      <c r="A12" s="196">
        <v>4</v>
      </c>
      <c r="B12" s="193">
        <v>1</v>
      </c>
      <c r="C12" s="193">
        <v>1</v>
      </c>
      <c r="D12" s="193">
        <v>1</v>
      </c>
      <c r="E12" s="197" t="s">
        <v>675</v>
      </c>
      <c r="F12" s="200" t="s">
        <v>727</v>
      </c>
      <c r="G12" s="201">
        <v>0</v>
      </c>
    </row>
    <row r="13" spans="1:7" ht="12.75">
      <c r="A13" s="196">
        <v>4</v>
      </c>
      <c r="B13" s="193">
        <v>1</v>
      </c>
      <c r="C13" s="193">
        <v>1</v>
      </c>
      <c r="D13" s="193">
        <v>1</v>
      </c>
      <c r="E13" s="197" t="s">
        <v>677</v>
      </c>
      <c r="F13" s="200" t="s">
        <v>676</v>
      </c>
      <c r="G13" s="201">
        <f>101170-5050</f>
        <v>96120</v>
      </c>
    </row>
    <row r="14" spans="1:7" ht="12.75">
      <c r="A14" s="196">
        <v>4</v>
      </c>
      <c r="B14" s="193">
        <v>1</v>
      </c>
      <c r="C14" s="193">
        <v>1</v>
      </c>
      <c r="D14" s="193">
        <v>1</v>
      </c>
      <c r="E14" s="197" t="s">
        <v>679</v>
      </c>
      <c r="F14" s="200" t="s">
        <v>678</v>
      </c>
      <c r="G14" s="201">
        <f>31210-1560</f>
        <v>29650</v>
      </c>
    </row>
    <row r="15" spans="1:7" ht="12.75">
      <c r="A15" s="196">
        <v>4</v>
      </c>
      <c r="B15" s="193">
        <v>1</v>
      </c>
      <c r="C15" s="193">
        <v>1</v>
      </c>
      <c r="D15" s="193">
        <v>1</v>
      </c>
      <c r="E15" s="197" t="s">
        <v>680</v>
      </c>
      <c r="F15" s="200" t="s">
        <v>728</v>
      </c>
      <c r="G15" s="201">
        <f>11510-570</f>
        <v>10940</v>
      </c>
    </row>
    <row r="16" spans="1:7" ht="12.75">
      <c r="A16" s="196">
        <v>4</v>
      </c>
      <c r="B16" s="193">
        <v>1</v>
      </c>
      <c r="C16" s="193">
        <v>1</v>
      </c>
      <c r="D16" s="193">
        <v>1</v>
      </c>
      <c r="E16" s="197" t="s">
        <v>681</v>
      </c>
      <c r="F16" s="200" t="s">
        <v>730</v>
      </c>
      <c r="G16" s="201">
        <f>35020-1750</f>
        <v>33270</v>
      </c>
    </row>
    <row r="17" spans="1:7" ht="12.75">
      <c r="A17" s="196">
        <v>4</v>
      </c>
      <c r="B17" s="193">
        <v>1</v>
      </c>
      <c r="C17" s="193">
        <v>1</v>
      </c>
      <c r="D17" s="193">
        <v>1</v>
      </c>
      <c r="E17" s="197" t="s">
        <v>725</v>
      </c>
      <c r="F17" s="200" t="s">
        <v>731</v>
      </c>
      <c r="G17" s="201">
        <f>86140-4300</f>
        <v>81840</v>
      </c>
    </row>
    <row r="18" spans="1:7" ht="12.75">
      <c r="A18" s="196">
        <v>4</v>
      </c>
      <c r="B18" s="193">
        <v>1</v>
      </c>
      <c r="C18" s="193">
        <v>1</v>
      </c>
      <c r="D18" s="193">
        <v>1</v>
      </c>
      <c r="E18" s="197" t="s">
        <v>729</v>
      </c>
      <c r="F18" s="200" t="s">
        <v>732</v>
      </c>
      <c r="G18" s="201">
        <f>50690-2530</f>
        <v>48160</v>
      </c>
    </row>
    <row r="19" spans="1:7" ht="12.75">
      <c r="A19" s="196">
        <v>4</v>
      </c>
      <c r="B19" s="193">
        <v>1</v>
      </c>
      <c r="C19" s="193">
        <v>1</v>
      </c>
      <c r="D19" s="193">
        <v>1</v>
      </c>
      <c r="E19" s="197" t="s">
        <v>733</v>
      </c>
      <c r="F19" s="200" t="s">
        <v>735</v>
      </c>
      <c r="G19" s="201">
        <f>4570-220</f>
        <v>4350</v>
      </c>
    </row>
    <row r="20" spans="1:7" ht="12.75">
      <c r="A20" s="196">
        <v>4</v>
      </c>
      <c r="B20" s="193">
        <v>1</v>
      </c>
      <c r="C20" s="193">
        <v>1</v>
      </c>
      <c r="D20" s="193">
        <v>1</v>
      </c>
      <c r="E20" s="197" t="s">
        <v>734</v>
      </c>
      <c r="F20" s="200" t="s">
        <v>736</v>
      </c>
      <c r="G20" s="201">
        <v>0</v>
      </c>
    </row>
    <row r="21" spans="1:7" ht="12.75">
      <c r="A21" s="196">
        <v>4</v>
      </c>
      <c r="B21" s="193">
        <v>1</v>
      </c>
      <c r="C21" s="193">
        <v>1</v>
      </c>
      <c r="D21" s="193">
        <v>2</v>
      </c>
      <c r="E21" s="197"/>
      <c r="F21" s="198" t="s">
        <v>682</v>
      </c>
      <c r="G21" s="199">
        <f>+SUM(G22:G35)</f>
        <v>0</v>
      </c>
    </row>
    <row r="22" spans="1:7" ht="12.75">
      <c r="A22" s="196">
        <v>4</v>
      </c>
      <c r="B22" s="193">
        <v>1</v>
      </c>
      <c r="C22" s="193">
        <v>1</v>
      </c>
      <c r="D22" s="193">
        <v>2</v>
      </c>
      <c r="E22" s="197" t="s">
        <v>666</v>
      </c>
      <c r="F22" s="200" t="s">
        <v>667</v>
      </c>
      <c r="G22" s="201"/>
    </row>
    <row r="23" spans="1:7" ht="12.75">
      <c r="A23" s="196">
        <v>4</v>
      </c>
      <c r="B23" s="193">
        <v>1</v>
      </c>
      <c r="C23" s="193">
        <v>1</v>
      </c>
      <c r="D23" s="193">
        <v>2</v>
      </c>
      <c r="E23" s="197" t="s">
        <v>668</v>
      </c>
      <c r="F23" s="200" t="s">
        <v>669</v>
      </c>
      <c r="G23" s="201"/>
    </row>
    <row r="24" spans="1:7" ht="12.75">
      <c r="A24" s="196">
        <v>4</v>
      </c>
      <c r="B24" s="193">
        <v>1</v>
      </c>
      <c r="C24" s="193">
        <v>1</v>
      </c>
      <c r="D24" s="193">
        <v>2</v>
      </c>
      <c r="E24" s="197" t="s">
        <v>670</v>
      </c>
      <c r="F24" s="200" t="s">
        <v>726</v>
      </c>
      <c r="G24" s="201"/>
    </row>
    <row r="25" spans="1:7" ht="12.75">
      <c r="A25" s="196">
        <v>4</v>
      </c>
      <c r="B25" s="193">
        <v>1</v>
      </c>
      <c r="C25" s="193">
        <v>1</v>
      </c>
      <c r="D25" s="193">
        <v>2</v>
      </c>
      <c r="E25" s="197" t="s">
        <v>672</v>
      </c>
      <c r="F25" s="200" t="s">
        <v>671</v>
      </c>
      <c r="G25" s="201"/>
    </row>
    <row r="26" spans="1:7" ht="12.75">
      <c r="A26" s="196">
        <v>4</v>
      </c>
      <c r="B26" s="193">
        <v>1</v>
      </c>
      <c r="C26" s="193">
        <v>1</v>
      </c>
      <c r="D26" s="193">
        <v>2</v>
      </c>
      <c r="E26" s="197" t="s">
        <v>673</v>
      </c>
      <c r="F26" s="200" t="s">
        <v>674</v>
      </c>
      <c r="G26" s="201"/>
    </row>
    <row r="27" spans="1:7" ht="12.75">
      <c r="A27" s="196">
        <v>4</v>
      </c>
      <c r="B27" s="193">
        <v>1</v>
      </c>
      <c r="C27" s="193">
        <v>1</v>
      </c>
      <c r="D27" s="193">
        <v>2</v>
      </c>
      <c r="E27" s="197" t="s">
        <v>675</v>
      </c>
      <c r="F27" s="200" t="s">
        <v>727</v>
      </c>
      <c r="G27" s="201"/>
    </row>
    <row r="28" spans="1:7" ht="12.75">
      <c r="A28" s="196">
        <v>4</v>
      </c>
      <c r="B28" s="193">
        <v>1</v>
      </c>
      <c r="C28" s="193">
        <v>1</v>
      </c>
      <c r="D28" s="193">
        <v>2</v>
      </c>
      <c r="E28" s="197" t="s">
        <v>677</v>
      </c>
      <c r="F28" s="200" t="s">
        <v>676</v>
      </c>
      <c r="G28" s="201"/>
    </row>
    <row r="29" spans="1:7" ht="12.75">
      <c r="A29" s="196">
        <v>4</v>
      </c>
      <c r="B29" s="193">
        <v>1</v>
      </c>
      <c r="C29" s="193">
        <v>1</v>
      </c>
      <c r="D29" s="193">
        <v>2</v>
      </c>
      <c r="E29" s="197" t="s">
        <v>679</v>
      </c>
      <c r="F29" s="200" t="s">
        <v>678</v>
      </c>
      <c r="G29" s="201"/>
    </row>
    <row r="30" spans="1:7" ht="12.75">
      <c r="A30" s="196">
        <v>4</v>
      </c>
      <c r="B30" s="193">
        <v>1</v>
      </c>
      <c r="C30" s="193">
        <v>1</v>
      </c>
      <c r="D30" s="193">
        <v>2</v>
      </c>
      <c r="E30" s="197" t="s">
        <v>680</v>
      </c>
      <c r="F30" s="200" t="s">
        <v>728</v>
      </c>
      <c r="G30" s="201"/>
    </row>
    <row r="31" spans="1:7" ht="12.75">
      <c r="A31" s="196">
        <v>4</v>
      </c>
      <c r="B31" s="193">
        <v>1</v>
      </c>
      <c r="C31" s="193">
        <v>1</v>
      </c>
      <c r="D31" s="193">
        <v>2</v>
      </c>
      <c r="E31" s="197" t="s">
        <v>681</v>
      </c>
      <c r="F31" s="200" t="s">
        <v>730</v>
      </c>
      <c r="G31" s="201"/>
    </row>
    <row r="32" spans="1:7" ht="12.75">
      <c r="A32" s="196">
        <v>4</v>
      </c>
      <c r="B32" s="193">
        <v>1</v>
      </c>
      <c r="C32" s="193">
        <v>1</v>
      </c>
      <c r="D32" s="193">
        <v>2</v>
      </c>
      <c r="E32" s="197" t="s">
        <v>725</v>
      </c>
      <c r="F32" s="200" t="s">
        <v>731</v>
      </c>
      <c r="G32" s="201"/>
    </row>
    <row r="33" spans="1:7" ht="12.75">
      <c r="A33" s="196">
        <v>4</v>
      </c>
      <c r="B33" s="193">
        <v>1</v>
      </c>
      <c r="C33" s="193">
        <v>1</v>
      </c>
      <c r="D33" s="193">
        <v>2</v>
      </c>
      <c r="E33" s="197" t="s">
        <v>729</v>
      </c>
      <c r="F33" s="200" t="s">
        <v>732</v>
      </c>
      <c r="G33" s="201"/>
    </row>
    <row r="34" spans="1:7" ht="12.75">
      <c r="A34" s="196">
        <v>4</v>
      </c>
      <c r="B34" s="193">
        <v>1</v>
      </c>
      <c r="C34" s="193">
        <v>1</v>
      </c>
      <c r="D34" s="193">
        <v>2</v>
      </c>
      <c r="E34" s="197" t="s">
        <v>733</v>
      </c>
      <c r="F34" s="200" t="s">
        <v>735</v>
      </c>
      <c r="G34" s="201"/>
    </row>
    <row r="35" spans="1:7" ht="12.75">
      <c r="A35" s="196">
        <v>4</v>
      </c>
      <c r="B35" s="193">
        <v>1</v>
      </c>
      <c r="C35" s="193">
        <v>1</v>
      </c>
      <c r="D35" s="193">
        <v>2</v>
      </c>
      <c r="E35" s="197" t="s">
        <v>734</v>
      </c>
      <c r="F35" s="200" t="s">
        <v>736</v>
      </c>
      <c r="G35" s="201"/>
    </row>
    <row r="36" spans="1:7" ht="12.75">
      <c r="A36" s="196">
        <v>4</v>
      </c>
      <c r="B36" s="193">
        <v>1</v>
      </c>
      <c r="C36" s="193">
        <v>2</v>
      </c>
      <c r="D36" s="193"/>
      <c r="E36" s="197"/>
      <c r="F36" s="198" t="s">
        <v>645</v>
      </c>
      <c r="G36" s="199">
        <f>+SUM(G37:G54)</f>
        <v>56440</v>
      </c>
    </row>
    <row r="37" spans="1:7" ht="12.75">
      <c r="A37" s="196">
        <v>4</v>
      </c>
      <c r="B37" s="193">
        <v>1</v>
      </c>
      <c r="C37" s="193">
        <v>2</v>
      </c>
      <c r="D37" s="193"/>
      <c r="E37" s="193">
        <v>1</v>
      </c>
      <c r="F37" s="200" t="s">
        <v>834</v>
      </c>
      <c r="G37" s="201">
        <v>1900</v>
      </c>
    </row>
    <row r="38" spans="1:7" ht="12.75">
      <c r="A38" s="196">
        <v>4</v>
      </c>
      <c r="B38" s="193">
        <v>1</v>
      </c>
      <c r="C38" s="193">
        <v>2</v>
      </c>
      <c r="D38" s="193"/>
      <c r="E38" s="193">
        <v>3</v>
      </c>
      <c r="F38" s="200" t="s">
        <v>836</v>
      </c>
      <c r="G38" s="201"/>
    </row>
    <row r="39" spans="1:7" ht="12.75">
      <c r="A39" s="196">
        <v>4</v>
      </c>
      <c r="B39" s="193">
        <v>1</v>
      </c>
      <c r="C39" s="193">
        <v>2</v>
      </c>
      <c r="D39" s="193"/>
      <c r="E39" s="193">
        <v>4</v>
      </c>
      <c r="F39" s="200" t="s">
        <v>837</v>
      </c>
      <c r="G39" s="201">
        <v>18500</v>
      </c>
    </row>
    <row r="40" spans="1:7" ht="12.75">
      <c r="A40" s="196">
        <v>4</v>
      </c>
      <c r="B40" s="193">
        <v>1</v>
      </c>
      <c r="C40" s="193">
        <v>2</v>
      </c>
      <c r="D40" s="193"/>
      <c r="E40" s="193">
        <v>5</v>
      </c>
      <c r="F40" s="200" t="s">
        <v>838</v>
      </c>
      <c r="G40" s="201">
        <f>24500-20000</f>
        <v>4500</v>
      </c>
    </row>
    <row r="41" spans="1:7" ht="12.75">
      <c r="A41" s="196">
        <v>4</v>
      </c>
      <c r="B41" s="193">
        <v>1</v>
      </c>
      <c r="C41" s="193">
        <v>2</v>
      </c>
      <c r="D41" s="193"/>
      <c r="E41" s="193">
        <v>6</v>
      </c>
      <c r="F41" s="200" t="s">
        <v>839</v>
      </c>
      <c r="G41" s="201"/>
    </row>
    <row r="42" spans="1:7" ht="12.75">
      <c r="A42" s="196">
        <v>4</v>
      </c>
      <c r="B42" s="193">
        <v>1</v>
      </c>
      <c r="C42" s="193">
        <v>2</v>
      </c>
      <c r="D42" s="193"/>
      <c r="E42" s="193">
        <v>7</v>
      </c>
      <c r="F42" s="200" t="s">
        <v>840</v>
      </c>
      <c r="G42" s="201">
        <v>500</v>
      </c>
    </row>
    <row r="43" spans="1:7" ht="12.75">
      <c r="A43" s="196">
        <v>4</v>
      </c>
      <c r="B43" s="193">
        <v>1</v>
      </c>
      <c r="C43" s="193">
        <v>2</v>
      </c>
      <c r="D43" s="193"/>
      <c r="E43" s="193">
        <v>8</v>
      </c>
      <c r="F43" s="200" t="s">
        <v>842</v>
      </c>
      <c r="G43" s="201"/>
    </row>
    <row r="44" spans="1:7" ht="12.75">
      <c r="A44" s="196">
        <v>4</v>
      </c>
      <c r="B44" s="193">
        <v>1</v>
      </c>
      <c r="C44" s="193">
        <v>2</v>
      </c>
      <c r="D44" s="193"/>
      <c r="E44" s="193">
        <v>9</v>
      </c>
      <c r="F44" s="200" t="s">
        <v>843</v>
      </c>
      <c r="G44" s="201">
        <v>5100</v>
      </c>
    </row>
    <row r="45" spans="1:7" ht="12.75">
      <c r="A45" s="196">
        <v>4</v>
      </c>
      <c r="B45" s="193">
        <v>1</v>
      </c>
      <c r="C45" s="193">
        <v>2</v>
      </c>
      <c r="D45" s="193"/>
      <c r="E45" s="193">
        <v>10</v>
      </c>
      <c r="F45" s="200" t="s">
        <v>844</v>
      </c>
      <c r="G45" s="201">
        <v>2320</v>
      </c>
    </row>
    <row r="46" spans="1:7" ht="12.75">
      <c r="A46" s="196">
        <v>4</v>
      </c>
      <c r="B46" s="193">
        <v>1</v>
      </c>
      <c r="C46" s="193">
        <v>2</v>
      </c>
      <c r="D46" s="193"/>
      <c r="E46" s="193">
        <v>11</v>
      </c>
      <c r="F46" s="200" t="s">
        <v>845</v>
      </c>
      <c r="G46" s="201">
        <v>3500</v>
      </c>
    </row>
    <row r="47" spans="1:7" ht="12.75">
      <c r="A47" s="196">
        <v>4</v>
      </c>
      <c r="B47" s="193">
        <v>1</v>
      </c>
      <c r="C47" s="193">
        <v>2</v>
      </c>
      <c r="D47" s="193"/>
      <c r="E47" s="193">
        <v>12</v>
      </c>
      <c r="F47" s="200" t="s">
        <v>846</v>
      </c>
      <c r="G47" s="201"/>
    </row>
    <row r="48" spans="1:7" ht="12.75">
      <c r="A48" s="196">
        <v>4</v>
      </c>
      <c r="B48" s="193">
        <v>1</v>
      </c>
      <c r="C48" s="193">
        <v>2</v>
      </c>
      <c r="D48" s="193"/>
      <c r="E48" s="193">
        <v>13</v>
      </c>
      <c r="F48" s="200" t="s">
        <v>847</v>
      </c>
      <c r="G48" s="201">
        <v>1620</v>
      </c>
    </row>
    <row r="49" spans="1:7" ht="12.75">
      <c r="A49" s="196">
        <v>4</v>
      </c>
      <c r="B49" s="193">
        <v>1</v>
      </c>
      <c r="C49" s="193">
        <v>2</v>
      </c>
      <c r="D49" s="193"/>
      <c r="E49" s="193">
        <v>14</v>
      </c>
      <c r="F49" s="200" t="s">
        <v>848</v>
      </c>
      <c r="G49" s="201"/>
    </row>
    <row r="50" spans="1:7" ht="12.75">
      <c r="A50" s="196">
        <v>4</v>
      </c>
      <c r="B50" s="193">
        <v>1</v>
      </c>
      <c r="C50" s="193">
        <v>2</v>
      </c>
      <c r="D50" s="193"/>
      <c r="E50" s="193">
        <v>15</v>
      </c>
      <c r="F50" s="200" t="s">
        <v>849</v>
      </c>
      <c r="G50" s="201">
        <f>34500-10000-6000</f>
        <v>18500</v>
      </c>
    </row>
    <row r="51" spans="1:7" ht="12.75">
      <c r="A51" s="196">
        <v>4</v>
      </c>
      <c r="B51" s="193">
        <v>1</v>
      </c>
      <c r="C51" s="193">
        <v>2</v>
      </c>
      <c r="D51" s="193"/>
      <c r="E51" s="193">
        <v>16</v>
      </c>
      <c r="F51" s="200" t="s">
        <v>850</v>
      </c>
      <c r="G51" s="201"/>
    </row>
    <row r="52" spans="1:7" ht="12.75">
      <c r="A52" s="196">
        <v>4</v>
      </c>
      <c r="B52" s="193">
        <v>1</v>
      </c>
      <c r="C52" s="193">
        <v>2</v>
      </c>
      <c r="D52" s="193"/>
      <c r="E52" s="193">
        <v>17</v>
      </c>
      <c r="F52" s="200" t="s">
        <v>851</v>
      </c>
      <c r="G52" s="201"/>
    </row>
    <row r="53" spans="1:7" ht="12.75">
      <c r="A53" s="196">
        <v>4</v>
      </c>
      <c r="B53" s="193">
        <v>1</v>
      </c>
      <c r="C53" s="193">
        <v>2</v>
      </c>
      <c r="D53" s="193"/>
      <c r="E53" s="193">
        <v>18</v>
      </c>
      <c r="F53" s="200" t="s">
        <v>852</v>
      </c>
      <c r="G53" s="201"/>
    </row>
    <row r="54" spans="1:7" ht="12.75">
      <c r="A54" s="196">
        <v>4</v>
      </c>
      <c r="B54" s="193">
        <v>1</v>
      </c>
      <c r="C54" s="193">
        <v>2</v>
      </c>
      <c r="D54" s="193"/>
      <c r="E54" s="193">
        <v>19</v>
      </c>
      <c r="F54" s="200" t="s">
        <v>853</v>
      </c>
      <c r="G54" s="201"/>
    </row>
    <row r="55" spans="1:7" ht="12.75">
      <c r="A55" s="196">
        <v>4</v>
      </c>
      <c r="B55" s="193">
        <v>1</v>
      </c>
      <c r="C55" s="193">
        <v>3</v>
      </c>
      <c r="D55" s="193"/>
      <c r="E55" s="197"/>
      <c r="F55" s="198" t="s">
        <v>646</v>
      </c>
      <c r="G55" s="199">
        <f>+SUM(G56:G77)</f>
        <v>46440</v>
      </c>
    </row>
    <row r="56" spans="1:7" ht="12.75">
      <c r="A56" s="196">
        <v>4</v>
      </c>
      <c r="B56" s="193">
        <v>1</v>
      </c>
      <c r="C56" s="193">
        <v>3</v>
      </c>
      <c r="D56" s="193"/>
      <c r="E56" s="193">
        <v>1</v>
      </c>
      <c r="F56" s="200" t="s">
        <v>854</v>
      </c>
      <c r="G56" s="201"/>
    </row>
    <row r="57" spans="1:7" ht="12.75">
      <c r="A57" s="196">
        <v>4</v>
      </c>
      <c r="B57" s="193">
        <v>1</v>
      </c>
      <c r="C57" s="193">
        <v>3</v>
      </c>
      <c r="D57" s="193"/>
      <c r="E57" s="193">
        <v>2</v>
      </c>
      <c r="F57" s="200" t="s">
        <v>855</v>
      </c>
      <c r="G57" s="201"/>
    </row>
    <row r="58" spans="1:7" ht="12.75">
      <c r="A58" s="196">
        <v>4</v>
      </c>
      <c r="B58" s="193">
        <v>1</v>
      </c>
      <c r="C58" s="193">
        <v>3</v>
      </c>
      <c r="D58" s="193"/>
      <c r="E58" s="193">
        <v>3</v>
      </c>
      <c r="F58" s="200" t="s">
        <v>856</v>
      </c>
      <c r="G58" s="201">
        <v>5100</v>
      </c>
    </row>
    <row r="59" spans="1:7" ht="12.75">
      <c r="A59" s="196">
        <v>4</v>
      </c>
      <c r="B59" s="193">
        <v>1</v>
      </c>
      <c r="C59" s="193">
        <v>3</v>
      </c>
      <c r="D59" s="193"/>
      <c r="E59" s="193">
        <v>4</v>
      </c>
      <c r="F59" s="200" t="s">
        <v>857</v>
      </c>
      <c r="G59" s="201"/>
    </row>
    <row r="60" spans="1:7" ht="12.75">
      <c r="A60" s="196">
        <v>4</v>
      </c>
      <c r="B60" s="193">
        <v>1</v>
      </c>
      <c r="C60" s="193">
        <v>3</v>
      </c>
      <c r="D60" s="193"/>
      <c r="E60" s="193">
        <v>5</v>
      </c>
      <c r="F60" s="200" t="s">
        <v>858</v>
      </c>
      <c r="G60" s="201"/>
    </row>
    <row r="61" spans="1:7" ht="12.75">
      <c r="A61" s="196">
        <v>4</v>
      </c>
      <c r="B61" s="193">
        <v>1</v>
      </c>
      <c r="C61" s="193">
        <v>3</v>
      </c>
      <c r="D61" s="193"/>
      <c r="E61" s="193">
        <v>6</v>
      </c>
      <c r="F61" s="200" t="s">
        <v>859</v>
      </c>
      <c r="G61" s="201">
        <f>46640-10000-20000</f>
        <v>16640</v>
      </c>
    </row>
    <row r="62" spans="1:7" ht="12.75">
      <c r="A62" s="196">
        <v>4</v>
      </c>
      <c r="B62" s="193">
        <v>1</v>
      </c>
      <c r="C62" s="193">
        <v>3</v>
      </c>
      <c r="D62" s="193"/>
      <c r="E62" s="193">
        <v>7</v>
      </c>
      <c r="F62" s="200" t="s">
        <v>860</v>
      </c>
      <c r="G62" s="201"/>
    </row>
    <row r="63" spans="1:7" ht="12.75">
      <c r="A63" s="196">
        <v>4</v>
      </c>
      <c r="B63" s="193">
        <v>1</v>
      </c>
      <c r="C63" s="193">
        <v>3</v>
      </c>
      <c r="D63" s="193"/>
      <c r="E63" s="193">
        <v>8</v>
      </c>
      <c r="F63" s="200" t="s">
        <v>861</v>
      </c>
      <c r="G63" s="201"/>
    </row>
    <row r="64" spans="1:7" ht="12.75">
      <c r="A64" s="196">
        <v>4</v>
      </c>
      <c r="B64" s="193">
        <v>1</v>
      </c>
      <c r="C64" s="193">
        <v>3</v>
      </c>
      <c r="D64" s="193"/>
      <c r="E64" s="193">
        <v>9</v>
      </c>
      <c r="F64" s="200" t="s">
        <v>862</v>
      </c>
      <c r="G64" s="201"/>
    </row>
    <row r="65" spans="1:7" ht="12.75">
      <c r="A65" s="196">
        <v>4</v>
      </c>
      <c r="B65" s="193">
        <v>1</v>
      </c>
      <c r="C65" s="193">
        <v>3</v>
      </c>
      <c r="D65" s="193"/>
      <c r="E65" s="193">
        <v>10</v>
      </c>
      <c r="F65" s="200" t="s">
        <v>863</v>
      </c>
      <c r="G65" s="201">
        <v>3000</v>
      </c>
    </row>
    <row r="66" spans="1:7" ht="12.75">
      <c r="A66" s="196">
        <v>4</v>
      </c>
      <c r="B66" s="193">
        <v>1</v>
      </c>
      <c r="C66" s="193">
        <v>3</v>
      </c>
      <c r="D66" s="193"/>
      <c r="E66" s="193">
        <v>11</v>
      </c>
      <c r="F66" s="200" t="s">
        <v>864</v>
      </c>
      <c r="G66" s="201"/>
    </row>
    <row r="67" spans="1:7" ht="12.75">
      <c r="A67" s="196">
        <v>4</v>
      </c>
      <c r="B67" s="193">
        <v>1</v>
      </c>
      <c r="C67" s="193">
        <v>3</v>
      </c>
      <c r="D67" s="193"/>
      <c r="E67" s="193">
        <v>12</v>
      </c>
      <c r="F67" s="200" t="s">
        <v>865</v>
      </c>
      <c r="G67" s="201"/>
    </row>
    <row r="68" spans="1:7" ht="12.75">
      <c r="A68" s="196">
        <v>4</v>
      </c>
      <c r="B68" s="193">
        <v>1</v>
      </c>
      <c r="C68" s="193">
        <v>3</v>
      </c>
      <c r="D68" s="193"/>
      <c r="E68" s="193">
        <v>13</v>
      </c>
      <c r="F68" s="200" t="s">
        <v>866</v>
      </c>
      <c r="G68" s="201">
        <v>5000</v>
      </c>
    </row>
    <row r="69" spans="1:7" ht="12.75">
      <c r="A69" s="196">
        <v>4</v>
      </c>
      <c r="B69" s="193">
        <v>1</v>
      </c>
      <c r="C69" s="193">
        <v>3</v>
      </c>
      <c r="D69" s="193"/>
      <c r="E69" s="193">
        <v>14</v>
      </c>
      <c r="F69" s="200" t="s">
        <v>867</v>
      </c>
      <c r="G69" s="201"/>
    </row>
    <row r="70" spans="1:7" ht="12.75">
      <c r="A70" s="196">
        <v>4</v>
      </c>
      <c r="B70" s="193">
        <v>1</v>
      </c>
      <c r="C70" s="193">
        <v>3</v>
      </c>
      <c r="D70" s="193"/>
      <c r="E70" s="193">
        <v>15</v>
      </c>
      <c r="F70" s="200" t="s">
        <v>868</v>
      </c>
      <c r="G70" s="201">
        <v>4000</v>
      </c>
    </row>
    <row r="71" spans="1:7" ht="12.75">
      <c r="A71" s="196">
        <v>4</v>
      </c>
      <c r="B71" s="193">
        <v>1</v>
      </c>
      <c r="C71" s="193">
        <v>3</v>
      </c>
      <c r="D71" s="193"/>
      <c r="E71" s="193">
        <v>16</v>
      </c>
      <c r="F71" s="200" t="s">
        <v>869</v>
      </c>
      <c r="G71" s="201"/>
    </row>
    <row r="72" spans="1:7" ht="12.75">
      <c r="A72" s="196">
        <v>4</v>
      </c>
      <c r="B72" s="193">
        <v>1</v>
      </c>
      <c r="C72" s="193">
        <v>3</v>
      </c>
      <c r="D72" s="193"/>
      <c r="E72" s="193">
        <v>17</v>
      </c>
      <c r="F72" s="200" t="s">
        <v>870</v>
      </c>
      <c r="G72" s="201">
        <v>3500</v>
      </c>
    </row>
    <row r="73" spans="1:7" ht="12.75">
      <c r="A73" s="196">
        <v>4</v>
      </c>
      <c r="B73" s="193">
        <v>1</v>
      </c>
      <c r="C73" s="193">
        <v>3</v>
      </c>
      <c r="D73" s="193"/>
      <c r="E73" s="193">
        <v>18</v>
      </c>
      <c r="F73" s="200" t="s">
        <v>871</v>
      </c>
      <c r="G73" s="201">
        <v>1000</v>
      </c>
    </row>
    <row r="74" spans="1:7" ht="12.75">
      <c r="A74" s="196">
        <v>4</v>
      </c>
      <c r="B74" s="193">
        <v>1</v>
      </c>
      <c r="C74" s="193">
        <v>3</v>
      </c>
      <c r="D74" s="193"/>
      <c r="E74" s="193">
        <v>19</v>
      </c>
      <c r="F74" s="200" t="s">
        <v>872</v>
      </c>
      <c r="G74" s="201"/>
    </row>
    <row r="75" spans="1:7" ht="12.75">
      <c r="A75" s="196">
        <v>4</v>
      </c>
      <c r="B75" s="193">
        <v>1</v>
      </c>
      <c r="C75" s="193">
        <v>3</v>
      </c>
      <c r="D75" s="193"/>
      <c r="E75" s="193">
        <v>20</v>
      </c>
      <c r="F75" s="200" t="s">
        <v>873</v>
      </c>
      <c r="G75" s="201"/>
    </row>
    <row r="76" spans="1:7" ht="12.75">
      <c r="A76" s="196">
        <v>4</v>
      </c>
      <c r="B76" s="193">
        <v>1</v>
      </c>
      <c r="C76" s="193">
        <v>3</v>
      </c>
      <c r="D76" s="193"/>
      <c r="E76" s="193">
        <v>21</v>
      </c>
      <c r="F76" s="200" t="s">
        <v>874</v>
      </c>
      <c r="G76" s="201">
        <v>8200</v>
      </c>
    </row>
    <row r="77" spans="1:7" ht="12.75">
      <c r="A77" s="196">
        <v>4</v>
      </c>
      <c r="B77" s="193">
        <v>1</v>
      </c>
      <c r="C77" s="193">
        <v>3</v>
      </c>
      <c r="D77" s="193"/>
      <c r="E77" s="193" t="s">
        <v>106</v>
      </c>
      <c r="F77" s="200" t="s">
        <v>117</v>
      </c>
      <c r="G77" s="201"/>
    </row>
    <row r="78" spans="1:7" ht="12.75">
      <c r="A78" s="196">
        <v>5</v>
      </c>
      <c r="B78" s="193">
        <v>1</v>
      </c>
      <c r="C78" s="193">
        <v>1</v>
      </c>
      <c r="D78" s="193"/>
      <c r="E78" s="197"/>
      <c r="F78" s="198" t="s">
        <v>649</v>
      </c>
      <c r="G78" s="199">
        <f>+SUM(G79:G89)</f>
        <v>55850</v>
      </c>
    </row>
    <row r="79" spans="1:7" ht="12.75">
      <c r="A79" s="196">
        <v>5</v>
      </c>
      <c r="B79" s="193">
        <v>1</v>
      </c>
      <c r="C79" s="193">
        <v>1</v>
      </c>
      <c r="D79" s="193"/>
      <c r="E79" s="193">
        <v>1</v>
      </c>
      <c r="F79" s="200" t="s">
        <v>875</v>
      </c>
      <c r="G79" s="201"/>
    </row>
    <row r="80" spans="1:7" ht="12.75">
      <c r="A80" s="196">
        <v>5</v>
      </c>
      <c r="B80" s="193">
        <v>1</v>
      </c>
      <c r="C80" s="193">
        <v>1</v>
      </c>
      <c r="D80" s="193"/>
      <c r="E80" s="193">
        <v>2</v>
      </c>
      <c r="F80" s="200" t="s">
        <v>876</v>
      </c>
      <c r="G80" s="201">
        <v>750</v>
      </c>
    </row>
    <row r="81" spans="1:7" ht="12.75">
      <c r="A81" s="196">
        <v>5</v>
      </c>
      <c r="B81" s="193">
        <v>1</v>
      </c>
      <c r="C81" s="193">
        <v>1</v>
      </c>
      <c r="D81" s="193"/>
      <c r="E81" s="193">
        <v>3</v>
      </c>
      <c r="F81" s="200" t="s">
        <v>877</v>
      </c>
      <c r="G81" s="201"/>
    </row>
    <row r="82" spans="1:7" ht="12.75">
      <c r="A82" s="196">
        <v>5</v>
      </c>
      <c r="B82" s="193">
        <v>1</v>
      </c>
      <c r="C82" s="193">
        <v>1</v>
      </c>
      <c r="D82" s="193"/>
      <c r="E82" s="193">
        <v>4</v>
      </c>
      <c r="F82" s="200" t="s">
        <v>878</v>
      </c>
      <c r="G82" s="201">
        <v>13100</v>
      </c>
    </row>
    <row r="83" spans="1:7" ht="12.75">
      <c r="A83" s="196">
        <v>5</v>
      </c>
      <c r="B83" s="193">
        <v>1</v>
      </c>
      <c r="C83" s="193">
        <v>1</v>
      </c>
      <c r="D83" s="193"/>
      <c r="E83" s="193">
        <v>5</v>
      </c>
      <c r="F83" s="200" t="s">
        <v>879</v>
      </c>
      <c r="G83" s="201"/>
    </row>
    <row r="84" spans="1:7" ht="12.75">
      <c r="A84" s="196">
        <v>5</v>
      </c>
      <c r="B84" s="193">
        <v>1</v>
      </c>
      <c r="C84" s="193">
        <v>1</v>
      </c>
      <c r="D84" s="193"/>
      <c r="E84" s="193">
        <v>6</v>
      </c>
      <c r="F84" s="200" t="s">
        <v>880</v>
      </c>
      <c r="G84" s="201"/>
    </row>
    <row r="85" spans="1:7" ht="12.75">
      <c r="A85" s="196">
        <v>5</v>
      </c>
      <c r="B85" s="193">
        <v>1</v>
      </c>
      <c r="C85" s="193">
        <v>1</v>
      </c>
      <c r="D85" s="193"/>
      <c r="E85" s="193">
        <v>7</v>
      </c>
      <c r="F85" s="200" t="s">
        <v>893</v>
      </c>
      <c r="G85" s="201"/>
    </row>
    <row r="86" spans="1:7" ht="12.75">
      <c r="A86" s="196">
        <v>5</v>
      </c>
      <c r="B86" s="193">
        <v>1</v>
      </c>
      <c r="C86" s="193">
        <v>1</v>
      </c>
      <c r="D86" s="193"/>
      <c r="E86" s="193">
        <v>8</v>
      </c>
      <c r="F86" s="200" t="s">
        <v>894</v>
      </c>
      <c r="G86" s="201">
        <f>39000-10000-6000</f>
        <v>23000</v>
      </c>
    </row>
    <row r="87" spans="1:7" ht="12.75">
      <c r="A87" s="196">
        <v>5</v>
      </c>
      <c r="B87" s="193">
        <v>1</v>
      </c>
      <c r="C87" s="193">
        <v>1</v>
      </c>
      <c r="D87" s="193"/>
      <c r="E87" s="193">
        <v>9</v>
      </c>
      <c r="F87" s="200" t="s">
        <v>897</v>
      </c>
      <c r="G87" s="201"/>
    </row>
    <row r="88" spans="1:7" ht="12.75">
      <c r="A88" s="196">
        <v>5</v>
      </c>
      <c r="B88" s="193">
        <v>1</v>
      </c>
      <c r="C88" s="193">
        <v>1</v>
      </c>
      <c r="D88" s="193"/>
      <c r="E88" s="193">
        <v>10</v>
      </c>
      <c r="F88" s="200" t="s">
        <v>895</v>
      </c>
      <c r="G88" s="201">
        <f>35000-10000-6000</f>
        <v>19000</v>
      </c>
    </row>
    <row r="89" spans="1:7" ht="13.5" thickBot="1">
      <c r="A89" s="204">
        <v>5</v>
      </c>
      <c r="B89" s="205">
        <v>1</v>
      </c>
      <c r="C89" s="205">
        <v>1</v>
      </c>
      <c r="D89" s="205"/>
      <c r="E89" s="205" t="s">
        <v>911</v>
      </c>
      <c r="F89" s="207" t="s">
        <v>738</v>
      </c>
      <c r="G89" s="208"/>
    </row>
    <row r="90" spans="6:7" ht="13.5" thickBot="1">
      <c r="F90" s="314" t="s">
        <v>690</v>
      </c>
      <c r="G90" s="297">
        <f>+G6+G21+G36+G55+G78</f>
        <v>1215480</v>
      </c>
    </row>
    <row r="91" ht="12.75">
      <c r="G91" s="68"/>
    </row>
    <row r="92" ht="12.75">
      <c r="G92" s="68"/>
    </row>
    <row r="93" ht="12.75">
      <c r="G93" s="68"/>
    </row>
    <row r="94" ht="12.75">
      <c r="G94" s="68"/>
    </row>
    <row r="95" ht="12.75">
      <c r="G95" s="68"/>
    </row>
    <row r="96" ht="12.75">
      <c r="G96" s="68"/>
    </row>
    <row r="97" ht="12.75">
      <c r="G97" s="68"/>
    </row>
    <row r="98" ht="12.75">
      <c r="G98" s="68"/>
    </row>
    <row r="99" ht="12.75">
      <c r="G99" s="68"/>
    </row>
    <row r="100" ht="12.75">
      <c r="G100" s="68"/>
    </row>
    <row r="101" ht="12.75">
      <c r="G101" s="68"/>
    </row>
    <row r="102" ht="12.75">
      <c r="G102" s="68"/>
    </row>
    <row r="103" ht="12.75">
      <c r="G103" s="68"/>
    </row>
    <row r="104" ht="12.75">
      <c r="G104" s="68"/>
    </row>
    <row r="105" ht="12.75">
      <c r="G105" s="68"/>
    </row>
    <row r="106" ht="12.75">
      <c r="G106" s="68"/>
    </row>
    <row r="107" ht="12.75">
      <c r="G107" s="68"/>
    </row>
    <row r="108" ht="12.75">
      <c r="G108" s="68"/>
    </row>
    <row r="109" ht="12.75">
      <c r="G109" s="68"/>
    </row>
    <row r="110" ht="12.75">
      <c r="G110" s="68"/>
    </row>
    <row r="111" ht="12.75">
      <c r="G111" s="68"/>
    </row>
    <row r="112" ht="12.75">
      <c r="G112" s="68"/>
    </row>
    <row r="113" ht="12.75">
      <c r="G113" s="68"/>
    </row>
    <row r="114" ht="12.75">
      <c r="G114" s="68"/>
    </row>
    <row r="115" ht="12.75">
      <c r="G115" s="68"/>
    </row>
    <row r="116" ht="12.75">
      <c r="G116" s="68"/>
    </row>
    <row r="117" ht="12.75">
      <c r="G117" s="68"/>
    </row>
    <row r="118" ht="12.75">
      <c r="G118" s="68"/>
    </row>
    <row r="119" ht="12.75">
      <c r="G119" s="68"/>
    </row>
    <row r="120" ht="12.75">
      <c r="G120" s="68"/>
    </row>
    <row r="121" ht="12.75">
      <c r="G121" s="68"/>
    </row>
    <row r="122" ht="12.75">
      <c r="G122" s="68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ht="12.75">
      <c r="G128" s="68"/>
    </row>
    <row r="129" ht="12.75">
      <c r="G129" s="68"/>
    </row>
    <row r="130" ht="12.75">
      <c r="G130" s="68"/>
    </row>
    <row r="131" ht="12.75">
      <c r="G131" s="68"/>
    </row>
    <row r="132" ht="12.75">
      <c r="G132" s="68"/>
    </row>
    <row r="133" ht="12.75">
      <c r="G133" s="68"/>
    </row>
    <row r="134" ht="12.75">
      <c r="G134" s="68"/>
    </row>
    <row r="135" ht="12.75">
      <c r="G135" s="68"/>
    </row>
    <row r="136" ht="12.75">
      <c r="G136" s="68"/>
    </row>
    <row r="137" ht="12.75">
      <c r="G137" s="68"/>
    </row>
    <row r="138" ht="12.75">
      <c r="G138" s="68"/>
    </row>
    <row r="139" ht="12.75">
      <c r="G139" s="68"/>
    </row>
    <row r="140" ht="12.75">
      <c r="G140" s="68"/>
    </row>
    <row r="141" ht="12.75">
      <c r="G141" s="68"/>
    </row>
    <row r="142" ht="12.75">
      <c r="G142" s="68"/>
    </row>
    <row r="143" ht="12.75">
      <c r="G143" s="68"/>
    </row>
    <row r="144" ht="12.75">
      <c r="G144" s="68"/>
    </row>
    <row r="145" ht="12.75">
      <c r="G145" s="68"/>
    </row>
    <row r="146" ht="12.75">
      <c r="G146" s="68"/>
    </row>
    <row r="147" ht="12.75">
      <c r="G147" s="68"/>
    </row>
    <row r="148" ht="12.75">
      <c r="G148" s="68"/>
    </row>
    <row r="149" ht="12.75">
      <c r="G149" s="68"/>
    </row>
    <row r="150" ht="12.75">
      <c r="G150" s="68"/>
    </row>
    <row r="151" ht="12.75">
      <c r="G151" s="68"/>
    </row>
    <row r="152" ht="12.75">
      <c r="G152" s="68"/>
    </row>
    <row r="153" ht="12.75">
      <c r="G153" s="68"/>
    </row>
    <row r="154" ht="12.75">
      <c r="G154" s="68"/>
    </row>
    <row r="155" ht="12.75">
      <c r="G155" s="68"/>
    </row>
    <row r="156" ht="12.75">
      <c r="G156" s="68"/>
    </row>
    <row r="157" ht="12.75">
      <c r="G157" s="68"/>
    </row>
    <row r="158" ht="12.75">
      <c r="G158" s="68"/>
    </row>
    <row r="159" ht="12.75">
      <c r="G159" s="68"/>
    </row>
    <row r="160" ht="12.75">
      <c r="G160" s="68"/>
    </row>
    <row r="161" ht="12.75">
      <c r="G161" s="68"/>
    </row>
    <row r="162" ht="12.75">
      <c r="G162" s="68"/>
    </row>
    <row r="163" ht="12.75">
      <c r="G163" s="68"/>
    </row>
    <row r="164" ht="12.75">
      <c r="G164" s="68"/>
    </row>
    <row r="165" ht="12.75">
      <c r="G165" s="68"/>
    </row>
    <row r="166" ht="12.75">
      <c r="G166" s="68"/>
    </row>
    <row r="167" ht="12.75">
      <c r="G167" s="68"/>
    </row>
    <row r="168" ht="12.75">
      <c r="G168" s="68"/>
    </row>
    <row r="169" ht="12.75">
      <c r="G169" s="68"/>
    </row>
    <row r="170" ht="12.75">
      <c r="G170" s="68"/>
    </row>
    <row r="171" ht="12.75">
      <c r="G171" s="68"/>
    </row>
    <row r="172" ht="12.75">
      <c r="G172" s="68"/>
    </row>
    <row r="173" ht="12.75">
      <c r="G173" s="68"/>
    </row>
    <row r="174" ht="12.75">
      <c r="G174" s="68"/>
    </row>
    <row r="175" ht="12.75">
      <c r="G175" s="68"/>
    </row>
    <row r="176" ht="12.75">
      <c r="G176" s="68"/>
    </row>
    <row r="177" ht="12.75">
      <c r="G177" s="68"/>
    </row>
    <row r="178" ht="12.75">
      <c r="G178" s="68"/>
    </row>
    <row r="179" ht="12.75">
      <c r="G179" s="68"/>
    </row>
    <row r="180" ht="12.75">
      <c r="G180" s="68"/>
    </row>
    <row r="181" ht="12.75">
      <c r="G181" s="68"/>
    </row>
  </sheetData>
  <sheetProtection/>
  <mergeCells count="2">
    <mergeCell ref="A2:G2"/>
    <mergeCell ref="A4:E4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9"/>
  <sheetViews>
    <sheetView zoomScale="75" zoomScaleNormal="75" zoomScaleSheetLayoutView="75" zoomScalePageLayoutView="0" workbookViewId="0" topLeftCell="A1">
      <selection activeCell="F18" sqref="F18"/>
    </sheetView>
  </sheetViews>
  <sheetFormatPr defaultColWidth="11.421875" defaultRowHeight="12.75"/>
  <cols>
    <col min="1" max="1" width="7.57421875" style="0" customWidth="1"/>
    <col min="2" max="2" width="6.421875" style="0" bestFit="1" customWidth="1"/>
    <col min="3" max="3" width="7.7109375" style="0" bestFit="1" customWidth="1"/>
    <col min="4" max="4" width="9.140625" style="0" bestFit="1" customWidth="1"/>
    <col min="5" max="5" width="7.57421875" style="0" customWidth="1"/>
    <col min="6" max="6" width="53.57421875" style="0" customWidth="1"/>
    <col min="7" max="7" width="16.00390625" style="12" customWidth="1"/>
  </cols>
  <sheetData>
    <row r="1" spans="1:7" ht="12.75">
      <c r="A1" s="67">
        <f>+ANEXO5!A1</f>
        <v>0</v>
      </c>
      <c r="B1" s="48"/>
      <c r="C1" s="48"/>
      <c r="D1" s="48"/>
      <c r="E1" s="48"/>
      <c r="F1" s="48"/>
      <c r="G1" s="68"/>
    </row>
    <row r="2" spans="1:7" ht="15">
      <c r="A2" s="761" t="s">
        <v>382</v>
      </c>
      <c r="B2" s="761"/>
      <c r="C2" s="761"/>
      <c r="D2" s="761"/>
      <c r="E2" s="761"/>
      <c r="F2" s="761"/>
      <c r="G2" s="761"/>
    </row>
    <row r="3" spans="1:7" ht="13.5" thickBot="1">
      <c r="A3" s="33" t="s">
        <v>710</v>
      </c>
      <c r="B3" s="48"/>
      <c r="C3" s="48"/>
      <c r="D3" s="48"/>
      <c r="E3" s="48"/>
      <c r="F3" s="48"/>
      <c r="G3" s="14">
        <v>611</v>
      </c>
    </row>
    <row r="4" spans="1:7" ht="13.5" thickBot="1">
      <c r="A4" s="771" t="s">
        <v>621</v>
      </c>
      <c r="B4" s="772"/>
      <c r="C4" s="772"/>
      <c r="D4" s="772"/>
      <c r="E4" s="772"/>
      <c r="F4" s="293" t="s">
        <v>657</v>
      </c>
      <c r="G4" s="293" t="s">
        <v>658</v>
      </c>
    </row>
    <row r="5" spans="1:7" ht="13.5" thickBot="1">
      <c r="A5" s="242" t="s">
        <v>659</v>
      </c>
      <c r="B5" s="242" t="s">
        <v>660</v>
      </c>
      <c r="C5" s="242" t="s">
        <v>661</v>
      </c>
      <c r="D5" s="242" t="s">
        <v>625</v>
      </c>
      <c r="E5" s="292" t="s">
        <v>662</v>
      </c>
      <c r="F5" s="294" t="s">
        <v>663</v>
      </c>
      <c r="G5" s="294"/>
    </row>
    <row r="6" spans="1:7" ht="12.75">
      <c r="A6" s="187">
        <v>4</v>
      </c>
      <c r="B6" s="188"/>
      <c r="C6" s="188"/>
      <c r="D6" s="188"/>
      <c r="E6" s="209"/>
      <c r="F6" s="210" t="s">
        <v>539</v>
      </c>
      <c r="G6" s="212">
        <f>+G7+G13+G15</f>
        <v>3192920</v>
      </c>
    </row>
    <row r="7" spans="1:7" ht="12.75">
      <c r="A7" s="196">
        <v>4</v>
      </c>
      <c r="B7" s="193">
        <v>1</v>
      </c>
      <c r="C7" s="193"/>
      <c r="D7" s="193"/>
      <c r="E7" s="197"/>
      <c r="F7" s="198" t="s">
        <v>664</v>
      </c>
      <c r="G7" s="199">
        <f>+G8+G11+G12</f>
        <v>3182920</v>
      </c>
    </row>
    <row r="8" spans="1:7" ht="12.75">
      <c r="A8" s="196">
        <v>4</v>
      </c>
      <c r="B8" s="193">
        <v>1</v>
      </c>
      <c r="C8" s="193">
        <v>1</v>
      </c>
      <c r="D8" s="193"/>
      <c r="E8" s="197"/>
      <c r="F8" s="198" t="s">
        <v>644</v>
      </c>
      <c r="G8" s="199">
        <f>+G9+G10</f>
        <v>3050080</v>
      </c>
    </row>
    <row r="9" spans="1:7" ht="12.75">
      <c r="A9" s="196">
        <v>4</v>
      </c>
      <c r="B9" s="193">
        <v>1</v>
      </c>
      <c r="C9" s="193">
        <v>1</v>
      </c>
      <c r="D9" s="193">
        <v>1</v>
      </c>
      <c r="E9" s="197"/>
      <c r="F9" s="198" t="s">
        <v>665</v>
      </c>
      <c r="G9" s="199">
        <f>+ANEXO6!G6</f>
        <v>2443610</v>
      </c>
    </row>
    <row r="10" spans="1:7" ht="12.75">
      <c r="A10" s="196">
        <v>4</v>
      </c>
      <c r="B10" s="193">
        <v>1</v>
      </c>
      <c r="C10" s="193">
        <v>1</v>
      </c>
      <c r="D10" s="193">
        <v>2</v>
      </c>
      <c r="E10" s="197"/>
      <c r="F10" s="198" t="s">
        <v>682</v>
      </c>
      <c r="G10" s="199">
        <f>+ANEXO6!G21</f>
        <v>606470</v>
      </c>
    </row>
    <row r="11" spans="1:7" ht="12.75">
      <c r="A11" s="196">
        <v>4</v>
      </c>
      <c r="B11" s="193">
        <v>1</v>
      </c>
      <c r="C11" s="193">
        <v>2</v>
      </c>
      <c r="D11" s="193"/>
      <c r="E11" s="197"/>
      <c r="F11" s="198" t="s">
        <v>645</v>
      </c>
      <c r="G11" s="199">
        <f>+ANEXO6!G36</f>
        <v>41580</v>
      </c>
    </row>
    <row r="12" spans="1:7" ht="12.75">
      <c r="A12" s="196">
        <v>4</v>
      </c>
      <c r="B12" s="193">
        <v>1</v>
      </c>
      <c r="C12" s="193">
        <v>3</v>
      </c>
      <c r="D12" s="193"/>
      <c r="E12" s="197"/>
      <c r="F12" s="198" t="s">
        <v>646</v>
      </c>
      <c r="G12" s="199">
        <f>+ANEXO6!G51</f>
        <v>91260</v>
      </c>
    </row>
    <row r="13" spans="1:7" ht="12.75">
      <c r="A13" s="196">
        <v>4</v>
      </c>
      <c r="B13" s="193">
        <v>2</v>
      </c>
      <c r="C13" s="193"/>
      <c r="D13" s="193"/>
      <c r="E13" s="197"/>
      <c r="F13" s="198" t="s">
        <v>683</v>
      </c>
      <c r="G13" s="199">
        <f>+G14</f>
        <v>0</v>
      </c>
    </row>
    <row r="14" spans="1:7" ht="12.75">
      <c r="A14" s="196">
        <v>4</v>
      </c>
      <c r="B14" s="193">
        <v>2</v>
      </c>
      <c r="C14" s="193">
        <v>1</v>
      </c>
      <c r="D14" s="193"/>
      <c r="E14" s="197"/>
      <c r="F14" s="198" t="s">
        <v>684</v>
      </c>
      <c r="G14" s="201">
        <v>0</v>
      </c>
    </row>
    <row r="15" spans="1:7" ht="12.75">
      <c r="A15" s="196">
        <v>4</v>
      </c>
      <c r="B15" s="193">
        <v>3</v>
      </c>
      <c r="C15" s="193"/>
      <c r="D15" s="193"/>
      <c r="E15" s="197"/>
      <c r="F15" s="198" t="s">
        <v>685</v>
      </c>
      <c r="G15" s="199">
        <f>+G16</f>
        <v>10000</v>
      </c>
    </row>
    <row r="16" spans="1:7" ht="12.75">
      <c r="A16" s="196">
        <v>4</v>
      </c>
      <c r="B16" s="193">
        <v>3</v>
      </c>
      <c r="C16" s="193">
        <v>1</v>
      </c>
      <c r="D16" s="193"/>
      <c r="E16" s="197"/>
      <c r="F16" s="198" t="s">
        <v>648</v>
      </c>
      <c r="G16" s="201">
        <f>+ANEXO6!G71</f>
        <v>10000</v>
      </c>
    </row>
    <row r="17" spans="1:7" ht="12.75">
      <c r="A17" s="191">
        <v>5</v>
      </c>
      <c r="B17" s="193"/>
      <c r="C17" s="193"/>
      <c r="D17" s="193"/>
      <c r="E17" s="197"/>
      <c r="F17" s="198" t="s">
        <v>548</v>
      </c>
      <c r="G17" s="199">
        <f>+G18+G21+G22</f>
        <v>33930</v>
      </c>
    </row>
    <row r="18" spans="1:7" ht="12.75">
      <c r="A18" s="196">
        <v>5</v>
      </c>
      <c r="B18" s="193">
        <v>1</v>
      </c>
      <c r="C18" s="193"/>
      <c r="D18" s="193"/>
      <c r="E18" s="197"/>
      <c r="F18" s="198" t="s">
        <v>686</v>
      </c>
      <c r="G18" s="199">
        <f>+G19+G20</f>
        <v>33930</v>
      </c>
    </row>
    <row r="19" spans="1:7" ht="12.75">
      <c r="A19" s="196">
        <v>5</v>
      </c>
      <c r="B19" s="193">
        <v>1</v>
      </c>
      <c r="C19" s="193">
        <v>1</v>
      </c>
      <c r="D19" s="193"/>
      <c r="E19" s="197"/>
      <c r="F19" s="198" t="s">
        <v>649</v>
      </c>
      <c r="G19" s="201">
        <f>+ANEXO6!G72</f>
        <v>33930</v>
      </c>
    </row>
    <row r="20" spans="1:7" ht="12.75">
      <c r="A20" s="196">
        <v>5</v>
      </c>
      <c r="B20" s="193">
        <v>1</v>
      </c>
      <c r="C20" s="193">
        <v>2</v>
      </c>
      <c r="D20" s="193"/>
      <c r="E20" s="193"/>
      <c r="F20" s="198" t="s">
        <v>650</v>
      </c>
      <c r="G20" s="201">
        <v>0</v>
      </c>
    </row>
    <row r="21" spans="1:7" ht="12.75">
      <c r="A21" s="196">
        <v>5</v>
      </c>
      <c r="B21" s="193">
        <v>2</v>
      </c>
      <c r="C21" s="193"/>
      <c r="D21" s="193"/>
      <c r="E21" s="193"/>
      <c r="F21" s="198" t="s">
        <v>687</v>
      </c>
      <c r="G21" s="199">
        <v>0</v>
      </c>
    </row>
    <row r="22" spans="1:7" ht="12.75">
      <c r="A22" s="196">
        <v>5</v>
      </c>
      <c r="B22" s="193">
        <v>3</v>
      </c>
      <c r="C22" s="193"/>
      <c r="D22" s="193"/>
      <c r="E22" s="193"/>
      <c r="F22" s="198" t="s">
        <v>688</v>
      </c>
      <c r="G22" s="199">
        <f>+G23</f>
        <v>0</v>
      </c>
    </row>
    <row r="23" spans="1:7" ht="12.75">
      <c r="A23" s="196">
        <v>5</v>
      </c>
      <c r="B23" s="193">
        <v>3</v>
      </c>
      <c r="C23" s="193">
        <v>1</v>
      </c>
      <c r="D23" s="193"/>
      <c r="E23" s="193"/>
      <c r="F23" s="198" t="s">
        <v>651</v>
      </c>
      <c r="G23" s="201">
        <v>0</v>
      </c>
    </row>
    <row r="24" spans="1:7" ht="12.75">
      <c r="A24" s="191">
        <v>6</v>
      </c>
      <c r="B24" s="193"/>
      <c r="C24" s="193"/>
      <c r="D24" s="193"/>
      <c r="E24" s="193"/>
      <c r="F24" s="198" t="s">
        <v>553</v>
      </c>
      <c r="G24" s="199">
        <f>+G25</f>
        <v>0</v>
      </c>
    </row>
    <row r="25" spans="1:7" ht="12.75">
      <c r="A25" s="196">
        <v>6</v>
      </c>
      <c r="B25" s="193">
        <v>1</v>
      </c>
      <c r="C25" s="193"/>
      <c r="D25" s="193"/>
      <c r="E25" s="193"/>
      <c r="F25" s="198" t="s">
        <v>689</v>
      </c>
      <c r="G25" s="199">
        <f>+G26</f>
        <v>0</v>
      </c>
    </row>
    <row r="26" spans="1:7" ht="13.5" thickBot="1">
      <c r="A26" s="204">
        <v>6</v>
      </c>
      <c r="B26" s="205">
        <v>1</v>
      </c>
      <c r="C26" s="205">
        <v>1</v>
      </c>
      <c r="D26" s="205"/>
      <c r="E26" s="205"/>
      <c r="F26" s="271" t="s">
        <v>652</v>
      </c>
      <c r="G26" s="208">
        <v>0</v>
      </c>
    </row>
    <row r="27" spans="1:7" ht="13.5" thickBot="1">
      <c r="A27" s="48"/>
      <c r="B27" s="48"/>
      <c r="C27" s="48"/>
      <c r="D27" s="48"/>
      <c r="E27" s="48"/>
      <c r="F27" s="296" t="s">
        <v>690</v>
      </c>
      <c r="G27" s="173">
        <f>+G6+G17+G24</f>
        <v>3226850</v>
      </c>
    </row>
    <row r="29" ht="12.75">
      <c r="G29" s="106"/>
    </row>
  </sheetData>
  <sheetProtection/>
  <mergeCells count="2">
    <mergeCell ref="A2:G2"/>
    <mergeCell ref="A4:E4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75"/>
  <sheetViews>
    <sheetView zoomScale="75" zoomScaleNormal="75" zoomScaleSheetLayoutView="75" zoomScalePageLayoutView="0" workbookViewId="0" topLeftCell="A43">
      <selection activeCell="G56" sqref="G56"/>
    </sheetView>
  </sheetViews>
  <sheetFormatPr defaultColWidth="11.421875" defaultRowHeight="12.75"/>
  <cols>
    <col min="1" max="1" width="6.421875" style="48" customWidth="1"/>
    <col min="2" max="2" width="6.421875" style="48" bestFit="1" customWidth="1"/>
    <col min="3" max="3" width="7.7109375" style="48" bestFit="1" customWidth="1"/>
    <col min="4" max="4" width="9.140625" style="48" bestFit="1" customWidth="1"/>
    <col min="5" max="5" width="7.57421875" style="48" bestFit="1" customWidth="1"/>
    <col min="6" max="6" width="50.421875" style="48" bestFit="1" customWidth="1"/>
    <col min="7" max="7" width="12.57421875" style="48" bestFit="1" customWidth="1"/>
  </cols>
  <sheetData>
    <row r="1" ht="12.75">
      <c r="A1" s="48">
        <f>+hcd!A1</f>
        <v>0</v>
      </c>
    </row>
    <row r="2" spans="1:7" ht="15">
      <c r="A2" s="761" t="s">
        <v>382</v>
      </c>
      <c r="B2" s="761"/>
      <c r="C2" s="761"/>
      <c r="D2" s="761"/>
      <c r="E2" s="761"/>
      <c r="F2" s="761"/>
      <c r="G2" s="761"/>
    </row>
    <row r="3" spans="1:7" ht="13.5" thickBot="1">
      <c r="A3" s="33" t="s">
        <v>710</v>
      </c>
      <c r="G3" s="14">
        <v>611</v>
      </c>
    </row>
    <row r="4" spans="1:7" ht="13.5" thickBot="1">
      <c r="A4" s="771" t="s">
        <v>621</v>
      </c>
      <c r="B4" s="772"/>
      <c r="C4" s="772"/>
      <c r="D4" s="772"/>
      <c r="E4" s="772"/>
      <c r="F4" s="293" t="s">
        <v>657</v>
      </c>
      <c r="G4" s="293" t="s">
        <v>658</v>
      </c>
    </row>
    <row r="5" spans="1:7" ht="13.5" thickBot="1">
      <c r="A5" s="242" t="s">
        <v>659</v>
      </c>
      <c r="B5" s="242" t="s">
        <v>660</v>
      </c>
      <c r="C5" s="242" t="s">
        <v>661</v>
      </c>
      <c r="D5" s="242" t="s">
        <v>625</v>
      </c>
      <c r="E5" s="292" t="s">
        <v>662</v>
      </c>
      <c r="F5" s="294" t="s">
        <v>663</v>
      </c>
      <c r="G5" s="294"/>
    </row>
    <row r="6" spans="1:7" ht="12.75">
      <c r="A6" s="211">
        <v>4</v>
      </c>
      <c r="B6" s="188">
        <v>1</v>
      </c>
      <c r="C6" s="188">
        <v>1</v>
      </c>
      <c r="D6" s="188">
        <v>1</v>
      </c>
      <c r="E6" s="209"/>
      <c r="F6" s="210" t="s">
        <v>665</v>
      </c>
      <c r="G6" s="212">
        <f>+SUM(G7:G20)</f>
        <v>2443610</v>
      </c>
    </row>
    <row r="7" spans="1:7" ht="12.75">
      <c r="A7" s="196">
        <v>4</v>
      </c>
      <c r="B7" s="193">
        <v>1</v>
      </c>
      <c r="C7" s="193">
        <v>1</v>
      </c>
      <c r="D7" s="193">
        <v>1</v>
      </c>
      <c r="E7" s="197" t="s">
        <v>666</v>
      </c>
      <c r="F7" s="200" t="s">
        <v>667</v>
      </c>
      <c r="G7" s="201">
        <f>973500-48670</f>
        <v>924830</v>
      </c>
    </row>
    <row r="8" spans="1:7" ht="12.75">
      <c r="A8" s="196">
        <v>4</v>
      </c>
      <c r="B8" s="193">
        <v>1</v>
      </c>
      <c r="C8" s="193">
        <v>1</v>
      </c>
      <c r="D8" s="193">
        <v>1</v>
      </c>
      <c r="E8" s="197" t="s">
        <v>668</v>
      </c>
      <c r="F8" s="200" t="s">
        <v>669</v>
      </c>
      <c r="G8" s="201">
        <f>50330-2510</f>
        <v>47820</v>
      </c>
    </row>
    <row r="9" spans="1:9" ht="12.75">
      <c r="A9" s="196">
        <v>4</v>
      </c>
      <c r="B9" s="193">
        <v>1</v>
      </c>
      <c r="C9" s="193">
        <v>1</v>
      </c>
      <c r="D9" s="193">
        <v>1</v>
      </c>
      <c r="E9" s="197" t="s">
        <v>670</v>
      </c>
      <c r="F9" s="200" t="s">
        <v>726</v>
      </c>
      <c r="G9" s="201">
        <v>0</v>
      </c>
      <c r="I9" s="1"/>
    </row>
    <row r="10" spans="1:9" ht="12.75">
      <c r="A10" s="196">
        <v>4</v>
      </c>
      <c r="B10" s="193">
        <v>1</v>
      </c>
      <c r="C10" s="193">
        <v>1</v>
      </c>
      <c r="D10" s="193">
        <v>1</v>
      </c>
      <c r="E10" s="197" t="s">
        <v>672</v>
      </c>
      <c r="F10" s="200" t="s">
        <v>671</v>
      </c>
      <c r="G10" s="201">
        <f>19100-950</f>
        <v>18150</v>
      </c>
      <c r="I10" s="1"/>
    </row>
    <row r="11" spans="1:9" ht="12.75">
      <c r="A11" s="196">
        <v>4</v>
      </c>
      <c r="B11" s="193">
        <v>1</v>
      </c>
      <c r="C11" s="193">
        <v>1</v>
      </c>
      <c r="D11" s="193">
        <v>1</v>
      </c>
      <c r="E11" s="197" t="s">
        <v>673</v>
      </c>
      <c r="F11" s="200" t="s">
        <v>674</v>
      </c>
      <c r="G11" s="201">
        <f>813330-40660</f>
        <v>772670</v>
      </c>
      <c r="I11" s="1"/>
    </row>
    <row r="12" spans="1:9" ht="12.75">
      <c r="A12" s="196">
        <v>4</v>
      </c>
      <c r="B12" s="193">
        <v>1</v>
      </c>
      <c r="C12" s="193">
        <v>1</v>
      </c>
      <c r="D12" s="193">
        <v>1</v>
      </c>
      <c r="E12" s="197" t="s">
        <v>675</v>
      </c>
      <c r="F12" s="200" t="s">
        <v>727</v>
      </c>
      <c r="G12" s="201">
        <v>0</v>
      </c>
      <c r="I12" s="1"/>
    </row>
    <row r="13" spans="1:9" ht="12.75">
      <c r="A13" s="196">
        <v>4</v>
      </c>
      <c r="B13" s="193">
        <v>1</v>
      </c>
      <c r="C13" s="193">
        <v>1</v>
      </c>
      <c r="D13" s="193">
        <v>1</v>
      </c>
      <c r="E13" s="197" t="s">
        <v>677</v>
      </c>
      <c r="F13" s="200" t="s">
        <v>676</v>
      </c>
      <c r="G13" s="201">
        <f>202340-10110</f>
        <v>192230</v>
      </c>
      <c r="I13" s="1"/>
    </row>
    <row r="14" spans="1:9" ht="12.75">
      <c r="A14" s="196">
        <v>4</v>
      </c>
      <c r="B14" s="193">
        <v>1</v>
      </c>
      <c r="C14" s="193">
        <v>1</v>
      </c>
      <c r="D14" s="193">
        <v>1</v>
      </c>
      <c r="E14" s="197" t="s">
        <v>679</v>
      </c>
      <c r="F14" s="200" t="s">
        <v>678</v>
      </c>
      <c r="G14" s="201">
        <f>31210-1560</f>
        <v>29650</v>
      </c>
      <c r="I14" s="1"/>
    </row>
    <row r="15" spans="1:9" ht="12.75">
      <c r="A15" s="196">
        <v>4</v>
      </c>
      <c r="B15" s="193">
        <v>1</v>
      </c>
      <c r="C15" s="193">
        <v>1</v>
      </c>
      <c r="D15" s="193">
        <v>1</v>
      </c>
      <c r="E15" s="197" t="s">
        <v>680</v>
      </c>
      <c r="F15" s="200" t="s">
        <v>728</v>
      </c>
      <c r="G15" s="201">
        <f>80580-4020</f>
        <v>76560</v>
      </c>
      <c r="I15" s="1"/>
    </row>
    <row r="16" spans="1:9" ht="12.75">
      <c r="A16" s="196">
        <v>4</v>
      </c>
      <c r="B16" s="193">
        <v>1</v>
      </c>
      <c r="C16" s="193">
        <v>1</v>
      </c>
      <c r="D16" s="193">
        <v>1</v>
      </c>
      <c r="E16" s="197" t="s">
        <v>681</v>
      </c>
      <c r="F16" s="200" t="s">
        <v>730</v>
      </c>
      <c r="G16" s="201">
        <v>35070</v>
      </c>
      <c r="I16" s="1"/>
    </row>
    <row r="17" spans="1:9" ht="12.75">
      <c r="A17" s="196">
        <v>4</v>
      </c>
      <c r="B17" s="193">
        <v>1</v>
      </c>
      <c r="C17" s="193">
        <v>1</v>
      </c>
      <c r="D17" s="193">
        <v>1</v>
      </c>
      <c r="E17" s="197" t="s">
        <v>725</v>
      </c>
      <c r="F17" s="200" t="s">
        <v>731</v>
      </c>
      <c r="G17" s="201">
        <f>215250-10760</f>
        <v>204490</v>
      </c>
      <c r="I17" s="1"/>
    </row>
    <row r="18" spans="1:9" ht="12.75">
      <c r="A18" s="196">
        <v>4</v>
      </c>
      <c r="B18" s="193">
        <v>1</v>
      </c>
      <c r="C18" s="193">
        <v>1</v>
      </c>
      <c r="D18" s="193">
        <v>1</v>
      </c>
      <c r="E18" s="197" t="s">
        <v>729</v>
      </c>
      <c r="F18" s="200" t="s">
        <v>732</v>
      </c>
      <c r="G18" s="201">
        <f>126730-6330</f>
        <v>120400</v>
      </c>
      <c r="I18" s="1"/>
    </row>
    <row r="19" spans="1:9" ht="12.75">
      <c r="A19" s="196">
        <v>4</v>
      </c>
      <c r="B19" s="193">
        <v>1</v>
      </c>
      <c r="C19" s="193">
        <v>1</v>
      </c>
      <c r="D19" s="193">
        <v>1</v>
      </c>
      <c r="E19" s="197" t="s">
        <v>733</v>
      </c>
      <c r="F19" s="200" t="s">
        <v>735</v>
      </c>
      <c r="G19" s="201">
        <f>22880-1140</f>
        <v>21740</v>
      </c>
      <c r="I19" s="1"/>
    </row>
    <row r="20" spans="1:7" ht="12.75">
      <c r="A20" s="196">
        <v>4</v>
      </c>
      <c r="B20" s="193">
        <v>1</v>
      </c>
      <c r="C20" s="193">
        <v>1</v>
      </c>
      <c r="D20" s="193">
        <v>1</v>
      </c>
      <c r="E20" s="197" t="s">
        <v>734</v>
      </c>
      <c r="F20" s="200" t="s">
        <v>736</v>
      </c>
      <c r="G20" s="201"/>
    </row>
    <row r="21" spans="1:7" ht="12.75">
      <c r="A21" s="196">
        <v>4</v>
      </c>
      <c r="B21" s="193">
        <v>1</v>
      </c>
      <c r="C21" s="193">
        <v>1</v>
      </c>
      <c r="D21" s="193">
        <v>2</v>
      </c>
      <c r="E21" s="197"/>
      <c r="F21" s="198" t="s">
        <v>682</v>
      </c>
      <c r="G21" s="199">
        <f>+SUM(G22:G35)</f>
        <v>606470</v>
      </c>
    </row>
    <row r="22" spans="1:9" ht="12.75">
      <c r="A22" s="196">
        <v>4</v>
      </c>
      <c r="B22" s="193">
        <v>1</v>
      </c>
      <c r="C22" s="193">
        <v>1</v>
      </c>
      <c r="D22" s="193">
        <v>2</v>
      </c>
      <c r="E22" s="197" t="s">
        <v>666</v>
      </c>
      <c r="F22" s="200" t="s">
        <v>667</v>
      </c>
      <c r="G22" s="201">
        <f>243480-12100</f>
        <v>231380</v>
      </c>
      <c r="I22" s="1"/>
    </row>
    <row r="23" spans="1:9" ht="12.75">
      <c r="A23" s="196">
        <v>4</v>
      </c>
      <c r="B23" s="193">
        <v>1</v>
      </c>
      <c r="C23" s="193">
        <v>1</v>
      </c>
      <c r="D23" s="193">
        <v>2</v>
      </c>
      <c r="E23" s="197" t="s">
        <v>668</v>
      </c>
      <c r="F23" s="200" t="s">
        <v>669</v>
      </c>
      <c r="G23" s="201">
        <f>21240-1060</f>
        <v>20180</v>
      </c>
      <c r="I23" s="1"/>
    </row>
    <row r="24" spans="1:9" ht="12.75">
      <c r="A24" s="196">
        <v>4</v>
      </c>
      <c r="B24" s="193">
        <v>1</v>
      </c>
      <c r="C24" s="193">
        <v>1</v>
      </c>
      <c r="D24" s="193">
        <v>2</v>
      </c>
      <c r="E24" s="197" t="s">
        <v>670</v>
      </c>
      <c r="F24" s="200" t="s">
        <v>726</v>
      </c>
      <c r="G24" s="201">
        <v>0</v>
      </c>
      <c r="I24" s="1"/>
    </row>
    <row r="25" spans="1:9" ht="12.75">
      <c r="A25" s="196">
        <v>4</v>
      </c>
      <c r="B25" s="193">
        <v>1</v>
      </c>
      <c r="C25" s="193">
        <v>1</v>
      </c>
      <c r="D25" s="193">
        <v>2</v>
      </c>
      <c r="E25" s="197" t="s">
        <v>672</v>
      </c>
      <c r="F25" s="200" t="s">
        <v>671</v>
      </c>
      <c r="G25" s="201">
        <v>0</v>
      </c>
      <c r="I25" s="1"/>
    </row>
    <row r="26" spans="1:9" ht="12.75">
      <c r="A26" s="196">
        <v>4</v>
      </c>
      <c r="B26" s="193">
        <v>1</v>
      </c>
      <c r="C26" s="193">
        <v>1</v>
      </c>
      <c r="D26" s="193">
        <v>2</v>
      </c>
      <c r="E26" s="197" t="s">
        <v>673</v>
      </c>
      <c r="F26" s="200" t="s">
        <v>674</v>
      </c>
      <c r="G26" s="201">
        <f>168820-8440</f>
        <v>160380</v>
      </c>
      <c r="I26" s="1"/>
    </row>
    <row r="27" spans="1:9" ht="12.75">
      <c r="A27" s="196">
        <v>4</v>
      </c>
      <c r="B27" s="193">
        <v>1</v>
      </c>
      <c r="C27" s="193">
        <v>1</v>
      </c>
      <c r="D27" s="193">
        <v>2</v>
      </c>
      <c r="E27" s="197" t="s">
        <v>675</v>
      </c>
      <c r="F27" s="200" t="s">
        <v>727</v>
      </c>
      <c r="G27" s="201">
        <v>0</v>
      </c>
      <c r="I27" s="1"/>
    </row>
    <row r="28" spans="1:9" ht="12.75">
      <c r="A28" s="196">
        <v>4</v>
      </c>
      <c r="B28" s="193">
        <v>1</v>
      </c>
      <c r="C28" s="193">
        <v>1</v>
      </c>
      <c r="D28" s="193">
        <v>2</v>
      </c>
      <c r="E28" s="197" t="s">
        <v>677</v>
      </c>
      <c r="F28" s="200" t="s">
        <v>676</v>
      </c>
      <c r="G28" s="201">
        <f>46260-2310</f>
        <v>43950</v>
      </c>
      <c r="I28" s="1"/>
    </row>
    <row r="29" spans="1:9" ht="12.75">
      <c r="A29" s="196">
        <v>4</v>
      </c>
      <c r="B29" s="193">
        <v>1</v>
      </c>
      <c r="C29" s="193">
        <v>1</v>
      </c>
      <c r="D29" s="193">
        <v>2</v>
      </c>
      <c r="E29" s="197" t="s">
        <v>679</v>
      </c>
      <c r="F29" s="200" t="s">
        <v>678</v>
      </c>
      <c r="G29" s="201">
        <f>7970-400</f>
        <v>7570</v>
      </c>
      <c r="I29" s="1"/>
    </row>
    <row r="30" spans="1:9" ht="12.75">
      <c r="A30" s="196">
        <v>4</v>
      </c>
      <c r="B30" s="193">
        <v>1</v>
      </c>
      <c r="C30" s="193">
        <v>1</v>
      </c>
      <c r="D30" s="193">
        <v>2</v>
      </c>
      <c r="E30" s="197" t="s">
        <v>680</v>
      </c>
      <c r="F30" s="200" t="s">
        <v>728</v>
      </c>
      <c r="G30" s="201">
        <f>24790-1240</f>
        <v>23550</v>
      </c>
      <c r="I30" s="1"/>
    </row>
    <row r="31" spans="1:9" ht="12.75">
      <c r="A31" s="196">
        <v>4</v>
      </c>
      <c r="B31" s="193">
        <v>1</v>
      </c>
      <c r="C31" s="193">
        <v>1</v>
      </c>
      <c r="D31" s="193">
        <v>2</v>
      </c>
      <c r="E31" s="197" t="s">
        <v>681</v>
      </c>
      <c r="F31" s="200" t="s">
        <v>730</v>
      </c>
      <c r="G31" s="201">
        <f>37970-1890</f>
        <v>36080</v>
      </c>
      <c r="I31" s="1"/>
    </row>
    <row r="32" spans="1:9" ht="12.75">
      <c r="A32" s="196">
        <v>4</v>
      </c>
      <c r="B32" s="193">
        <v>1</v>
      </c>
      <c r="C32" s="193">
        <v>1</v>
      </c>
      <c r="D32" s="193">
        <v>2</v>
      </c>
      <c r="E32" s="197" t="s">
        <v>725</v>
      </c>
      <c r="F32" s="200" t="s">
        <v>731</v>
      </c>
      <c r="G32" s="201">
        <f>51830-2590</f>
        <v>49240</v>
      </c>
      <c r="I32" s="1"/>
    </row>
    <row r="33" spans="1:9" ht="12.75">
      <c r="A33" s="196">
        <v>4</v>
      </c>
      <c r="B33" s="193">
        <v>1</v>
      </c>
      <c r="C33" s="193">
        <v>1</v>
      </c>
      <c r="D33" s="193">
        <v>2</v>
      </c>
      <c r="E33" s="197" t="s">
        <v>729</v>
      </c>
      <c r="F33" s="200" t="s">
        <v>732</v>
      </c>
      <c r="G33" s="201">
        <f>30580-1530</f>
        <v>29050</v>
      </c>
      <c r="I33" s="1"/>
    </row>
    <row r="34" spans="1:9" ht="12.75">
      <c r="A34" s="196">
        <v>4</v>
      </c>
      <c r="B34" s="193">
        <v>1</v>
      </c>
      <c r="C34" s="193">
        <v>1</v>
      </c>
      <c r="D34" s="193">
        <v>2</v>
      </c>
      <c r="E34" s="197" t="s">
        <v>733</v>
      </c>
      <c r="F34" s="200" t="s">
        <v>735</v>
      </c>
      <c r="G34" s="201">
        <f>5360-270</f>
        <v>5090</v>
      </c>
      <c r="I34" s="1"/>
    </row>
    <row r="35" spans="1:9" ht="12.75">
      <c r="A35" s="196">
        <v>4</v>
      </c>
      <c r="B35" s="193">
        <v>1</v>
      </c>
      <c r="C35" s="193">
        <v>1</v>
      </c>
      <c r="D35" s="193">
        <v>2</v>
      </c>
      <c r="E35" s="197" t="s">
        <v>734</v>
      </c>
      <c r="F35" s="200" t="s">
        <v>736</v>
      </c>
      <c r="G35" s="201">
        <v>0</v>
      </c>
      <c r="I35" s="1"/>
    </row>
    <row r="36" spans="1:9" ht="12.75">
      <c r="A36" s="196">
        <v>4</v>
      </c>
      <c r="B36" s="193">
        <v>1</v>
      </c>
      <c r="C36" s="193">
        <v>2</v>
      </c>
      <c r="D36" s="193"/>
      <c r="E36" s="197"/>
      <c r="F36" s="198" t="s">
        <v>645</v>
      </c>
      <c r="G36" s="199">
        <f>+SUM(G37:G50)</f>
        <v>41580</v>
      </c>
      <c r="I36" s="1"/>
    </row>
    <row r="37" spans="1:7" ht="12.75">
      <c r="A37" s="196">
        <v>4</v>
      </c>
      <c r="B37" s="193">
        <v>1</v>
      </c>
      <c r="C37" s="193">
        <v>2</v>
      </c>
      <c r="D37" s="193"/>
      <c r="E37" s="193">
        <v>1</v>
      </c>
      <c r="F37" s="200" t="s">
        <v>834</v>
      </c>
      <c r="G37" s="201">
        <v>1430</v>
      </c>
    </row>
    <row r="38" spans="1:7" ht="12.75">
      <c r="A38" s="196">
        <v>4</v>
      </c>
      <c r="B38" s="193">
        <v>1</v>
      </c>
      <c r="C38" s="193">
        <v>2</v>
      </c>
      <c r="D38" s="193"/>
      <c r="E38" s="193">
        <v>3</v>
      </c>
      <c r="F38" s="200" t="s">
        <v>836</v>
      </c>
      <c r="G38" s="201"/>
    </row>
    <row r="39" spans="1:7" ht="12.75">
      <c r="A39" s="196">
        <v>4</v>
      </c>
      <c r="B39" s="193">
        <v>1</v>
      </c>
      <c r="C39" s="193">
        <v>2</v>
      </c>
      <c r="D39" s="193"/>
      <c r="E39" s="193">
        <v>4</v>
      </c>
      <c r="F39" s="200" t="s">
        <v>837</v>
      </c>
      <c r="G39" s="201">
        <v>2200</v>
      </c>
    </row>
    <row r="40" spans="1:7" ht="12.75">
      <c r="A40" s="196">
        <v>4</v>
      </c>
      <c r="B40" s="193">
        <v>1</v>
      </c>
      <c r="C40" s="193">
        <v>2</v>
      </c>
      <c r="D40" s="193"/>
      <c r="E40" s="193">
        <v>5</v>
      </c>
      <c r="F40" s="200" t="s">
        <v>838</v>
      </c>
      <c r="G40" s="201">
        <v>1120</v>
      </c>
    </row>
    <row r="41" spans="1:7" ht="12.75">
      <c r="A41" s="196">
        <v>4</v>
      </c>
      <c r="B41" s="193">
        <v>1</v>
      </c>
      <c r="C41" s="193">
        <v>2</v>
      </c>
      <c r="D41" s="193"/>
      <c r="E41" s="193">
        <v>6</v>
      </c>
      <c r="F41" s="200" t="s">
        <v>839</v>
      </c>
      <c r="G41" s="201"/>
    </row>
    <row r="42" spans="1:7" ht="12.75">
      <c r="A42" s="196">
        <v>4</v>
      </c>
      <c r="B42" s="193">
        <v>1</v>
      </c>
      <c r="C42" s="193">
        <v>2</v>
      </c>
      <c r="D42" s="193"/>
      <c r="E42" s="193">
        <v>7</v>
      </c>
      <c r="F42" s="200" t="s">
        <v>840</v>
      </c>
      <c r="G42" s="201"/>
    </row>
    <row r="43" spans="1:7" ht="12.75">
      <c r="A43" s="196">
        <v>4</v>
      </c>
      <c r="B43" s="193">
        <v>1</v>
      </c>
      <c r="C43" s="193">
        <v>2</v>
      </c>
      <c r="D43" s="193"/>
      <c r="E43" s="193">
        <v>8</v>
      </c>
      <c r="F43" s="200" t="s">
        <v>842</v>
      </c>
      <c r="G43" s="201"/>
    </row>
    <row r="44" spans="1:7" ht="12.75">
      <c r="A44" s="196">
        <v>4</v>
      </c>
      <c r="B44" s="193">
        <v>1</v>
      </c>
      <c r="C44" s="193">
        <v>2</v>
      </c>
      <c r="D44" s="193"/>
      <c r="E44" s="193">
        <v>9</v>
      </c>
      <c r="F44" s="200" t="s">
        <v>843</v>
      </c>
      <c r="G44" s="201">
        <v>1160</v>
      </c>
    </row>
    <row r="45" spans="1:7" ht="12.75">
      <c r="A45" s="196">
        <v>4</v>
      </c>
      <c r="B45" s="193">
        <v>1</v>
      </c>
      <c r="C45" s="193">
        <v>2</v>
      </c>
      <c r="D45" s="193"/>
      <c r="E45" s="193">
        <v>10</v>
      </c>
      <c r="F45" s="200" t="s">
        <v>844</v>
      </c>
      <c r="G45" s="201">
        <v>130</v>
      </c>
    </row>
    <row r="46" spans="1:7" ht="12.75">
      <c r="A46" s="196">
        <v>4</v>
      </c>
      <c r="B46" s="193">
        <v>1</v>
      </c>
      <c r="C46" s="193">
        <v>2</v>
      </c>
      <c r="D46" s="193"/>
      <c r="E46" s="193">
        <v>11</v>
      </c>
      <c r="F46" s="200" t="s">
        <v>845</v>
      </c>
      <c r="G46" s="201">
        <v>3510</v>
      </c>
    </row>
    <row r="47" spans="1:7" ht="12.75">
      <c r="A47" s="196">
        <v>4</v>
      </c>
      <c r="B47" s="193">
        <v>1</v>
      </c>
      <c r="C47" s="193">
        <v>2</v>
      </c>
      <c r="D47" s="193"/>
      <c r="E47" s="193">
        <v>12</v>
      </c>
      <c r="F47" s="200" t="s">
        <v>846</v>
      </c>
      <c r="G47" s="201"/>
    </row>
    <row r="48" spans="1:7" ht="12.75">
      <c r="A48" s="196">
        <v>4</v>
      </c>
      <c r="B48" s="193">
        <v>1</v>
      </c>
      <c r="C48" s="193">
        <v>2</v>
      </c>
      <c r="D48" s="193"/>
      <c r="E48" s="193">
        <v>13</v>
      </c>
      <c r="F48" s="200" t="s">
        <v>847</v>
      </c>
      <c r="G48" s="201"/>
    </row>
    <row r="49" spans="1:7" ht="12.75">
      <c r="A49" s="196">
        <v>4</v>
      </c>
      <c r="B49" s="193">
        <v>1</v>
      </c>
      <c r="C49" s="193">
        <v>2</v>
      </c>
      <c r="D49" s="193"/>
      <c r="E49" s="193">
        <v>14</v>
      </c>
      <c r="F49" s="200" t="s">
        <v>848</v>
      </c>
      <c r="G49" s="201"/>
    </row>
    <row r="50" spans="1:7" ht="12.75">
      <c r="A50" s="196">
        <v>4</v>
      </c>
      <c r="B50" s="193">
        <v>1</v>
      </c>
      <c r="C50" s="193">
        <v>2</v>
      </c>
      <c r="D50" s="193"/>
      <c r="E50" s="193">
        <v>15</v>
      </c>
      <c r="F50" s="200" t="s">
        <v>849</v>
      </c>
      <c r="G50" s="201">
        <f>12000+20030</f>
        <v>32030</v>
      </c>
    </row>
    <row r="51" spans="1:8" ht="12.75">
      <c r="A51" s="196">
        <v>4</v>
      </c>
      <c r="B51" s="193">
        <v>1</v>
      </c>
      <c r="C51" s="193">
        <v>3</v>
      </c>
      <c r="D51" s="193"/>
      <c r="E51" s="197"/>
      <c r="F51" s="198" t="s">
        <v>646</v>
      </c>
      <c r="G51" s="199">
        <f>+SUM(G52:G70)</f>
        <v>91260</v>
      </c>
      <c r="H51" s="1"/>
    </row>
    <row r="52" spans="1:7" ht="12.75">
      <c r="A52" s="196">
        <v>4</v>
      </c>
      <c r="B52" s="193">
        <v>1</v>
      </c>
      <c r="C52" s="193">
        <v>3</v>
      </c>
      <c r="D52" s="193"/>
      <c r="E52" s="193">
        <v>1</v>
      </c>
      <c r="F52" s="200" t="s">
        <v>854</v>
      </c>
      <c r="G52" s="201"/>
    </row>
    <row r="53" spans="1:7" ht="12.75">
      <c r="A53" s="196">
        <v>4</v>
      </c>
      <c r="B53" s="193">
        <v>1</v>
      </c>
      <c r="C53" s="193">
        <v>3</v>
      </c>
      <c r="D53" s="193"/>
      <c r="E53" s="193">
        <v>2</v>
      </c>
      <c r="F53" s="200" t="s">
        <v>855</v>
      </c>
      <c r="G53" s="201"/>
    </row>
    <row r="54" spans="1:7" ht="12.75">
      <c r="A54" s="196">
        <v>4</v>
      </c>
      <c r="B54" s="193">
        <v>1</v>
      </c>
      <c r="C54" s="193">
        <v>3</v>
      </c>
      <c r="D54" s="193"/>
      <c r="E54" s="193">
        <v>3</v>
      </c>
      <c r="F54" s="200" t="s">
        <v>856</v>
      </c>
      <c r="G54" s="201"/>
    </row>
    <row r="55" spans="1:7" ht="12.75">
      <c r="A55" s="196">
        <v>4</v>
      </c>
      <c r="B55" s="193">
        <v>1</v>
      </c>
      <c r="C55" s="193">
        <v>3</v>
      </c>
      <c r="D55" s="193"/>
      <c r="E55" s="193">
        <v>4</v>
      </c>
      <c r="F55" s="200" t="s">
        <v>857</v>
      </c>
      <c r="G55" s="201"/>
    </row>
    <row r="56" spans="1:7" ht="12.75">
      <c r="A56" s="196">
        <v>4</v>
      </c>
      <c r="B56" s="193">
        <v>1</v>
      </c>
      <c r="C56" s="193">
        <v>3</v>
      </c>
      <c r="D56" s="193"/>
      <c r="E56" s="193">
        <v>5</v>
      </c>
      <c r="F56" s="200" t="s">
        <v>858</v>
      </c>
      <c r="G56" s="201">
        <v>1280</v>
      </c>
    </row>
    <row r="57" spans="1:7" ht="12.75">
      <c r="A57" s="196">
        <v>4</v>
      </c>
      <c r="B57" s="193">
        <v>1</v>
      </c>
      <c r="C57" s="193">
        <v>3</v>
      </c>
      <c r="D57" s="193"/>
      <c r="E57" s="193">
        <v>6</v>
      </c>
      <c r="F57" s="200" t="s">
        <v>859</v>
      </c>
      <c r="G57" s="201"/>
    </row>
    <row r="58" spans="1:7" ht="12.75">
      <c r="A58" s="196">
        <v>4</v>
      </c>
      <c r="B58" s="193">
        <v>1</v>
      </c>
      <c r="C58" s="193">
        <v>3</v>
      </c>
      <c r="D58" s="193"/>
      <c r="E58" s="193">
        <v>7</v>
      </c>
      <c r="F58" s="200" t="s">
        <v>860</v>
      </c>
      <c r="G58" s="201"/>
    </row>
    <row r="59" spans="1:7" ht="12.75">
      <c r="A59" s="196">
        <v>4</v>
      </c>
      <c r="B59" s="193">
        <v>1</v>
      </c>
      <c r="C59" s="193">
        <v>3</v>
      </c>
      <c r="D59" s="193"/>
      <c r="E59" s="193">
        <v>8</v>
      </c>
      <c r="F59" s="200" t="s">
        <v>861</v>
      </c>
      <c r="G59" s="201"/>
    </row>
    <row r="60" spans="1:7" ht="12.75">
      <c r="A60" s="196">
        <v>4</v>
      </c>
      <c r="B60" s="193">
        <v>1</v>
      </c>
      <c r="C60" s="193">
        <v>3</v>
      </c>
      <c r="D60" s="193"/>
      <c r="E60" s="193">
        <v>9</v>
      </c>
      <c r="F60" s="200" t="s">
        <v>862</v>
      </c>
      <c r="G60" s="201">
        <v>16100</v>
      </c>
    </row>
    <row r="61" spans="1:7" ht="12.75">
      <c r="A61" s="196">
        <v>4</v>
      </c>
      <c r="B61" s="193">
        <v>1</v>
      </c>
      <c r="C61" s="193">
        <v>3</v>
      </c>
      <c r="D61" s="193"/>
      <c r="E61" s="193">
        <v>10</v>
      </c>
      <c r="F61" s="200" t="s">
        <v>863</v>
      </c>
      <c r="G61" s="201"/>
    </row>
    <row r="62" spans="1:7" ht="12.75">
      <c r="A62" s="196">
        <v>4</v>
      </c>
      <c r="B62" s="193">
        <v>1</v>
      </c>
      <c r="C62" s="193">
        <v>3</v>
      </c>
      <c r="D62" s="193"/>
      <c r="E62" s="193">
        <v>11</v>
      </c>
      <c r="F62" s="200" t="s">
        <v>864</v>
      </c>
      <c r="G62" s="201"/>
    </row>
    <row r="63" spans="1:7" ht="12.75">
      <c r="A63" s="196">
        <v>4</v>
      </c>
      <c r="B63" s="193">
        <v>1</v>
      </c>
      <c r="C63" s="193">
        <v>3</v>
      </c>
      <c r="D63" s="193"/>
      <c r="E63" s="193">
        <v>12</v>
      </c>
      <c r="F63" s="200" t="s">
        <v>865</v>
      </c>
      <c r="G63" s="201"/>
    </row>
    <row r="64" spans="1:7" ht="12.75">
      <c r="A64" s="196">
        <v>4</v>
      </c>
      <c r="B64" s="193">
        <v>1</v>
      </c>
      <c r="C64" s="193">
        <v>3</v>
      </c>
      <c r="D64" s="193"/>
      <c r="E64" s="193">
        <v>13</v>
      </c>
      <c r="F64" s="200" t="s">
        <v>866</v>
      </c>
      <c r="G64" s="201"/>
    </row>
    <row r="65" spans="1:7" ht="12.75">
      <c r="A65" s="196">
        <v>4</v>
      </c>
      <c r="B65" s="193">
        <v>1</v>
      </c>
      <c r="C65" s="193">
        <v>3</v>
      </c>
      <c r="D65" s="193"/>
      <c r="E65" s="193">
        <v>14</v>
      </c>
      <c r="F65" s="200" t="s">
        <v>867</v>
      </c>
      <c r="G65" s="201"/>
    </row>
    <row r="66" spans="1:7" ht="12.75">
      <c r="A66" s="196">
        <v>4</v>
      </c>
      <c r="B66" s="193">
        <v>1</v>
      </c>
      <c r="C66" s="193">
        <v>3</v>
      </c>
      <c r="D66" s="193"/>
      <c r="E66" s="193">
        <v>15</v>
      </c>
      <c r="F66" s="200" t="s">
        <v>868</v>
      </c>
      <c r="G66" s="201"/>
    </row>
    <row r="67" spans="1:7" ht="12.75">
      <c r="A67" s="196">
        <v>4</v>
      </c>
      <c r="B67" s="193">
        <v>1</v>
      </c>
      <c r="C67" s="193">
        <v>3</v>
      </c>
      <c r="D67" s="193"/>
      <c r="E67" s="193">
        <v>16</v>
      </c>
      <c r="F67" s="200" t="s">
        <v>869</v>
      </c>
      <c r="G67" s="201"/>
    </row>
    <row r="68" spans="1:7" ht="12.75">
      <c r="A68" s="196">
        <v>4</v>
      </c>
      <c r="B68" s="193">
        <v>1</v>
      </c>
      <c r="C68" s="193">
        <v>3</v>
      </c>
      <c r="D68" s="193"/>
      <c r="E68" s="193">
        <v>17</v>
      </c>
      <c r="F68" s="200" t="s">
        <v>870</v>
      </c>
      <c r="G68" s="201">
        <v>940</v>
      </c>
    </row>
    <row r="69" spans="1:7" ht="12.75">
      <c r="A69" s="196">
        <v>4</v>
      </c>
      <c r="B69" s="193">
        <v>1</v>
      </c>
      <c r="C69" s="193">
        <v>3</v>
      </c>
      <c r="D69" s="193"/>
      <c r="E69" s="193">
        <v>21</v>
      </c>
      <c r="F69" s="200" t="s">
        <v>874</v>
      </c>
      <c r="G69" s="201">
        <f>2940+70000</f>
        <v>72940</v>
      </c>
    </row>
    <row r="70" spans="1:7" ht="12.75">
      <c r="A70" s="196">
        <v>4</v>
      </c>
      <c r="B70" s="193">
        <v>1</v>
      </c>
      <c r="C70" s="193">
        <v>3</v>
      </c>
      <c r="D70" s="193"/>
      <c r="E70" s="193" t="s">
        <v>106</v>
      </c>
      <c r="F70" s="200" t="s">
        <v>117</v>
      </c>
      <c r="G70" s="201"/>
    </row>
    <row r="71" spans="1:7" ht="12.75">
      <c r="A71" s="196">
        <v>4</v>
      </c>
      <c r="B71" s="193">
        <v>3</v>
      </c>
      <c r="C71" s="193">
        <v>1</v>
      </c>
      <c r="D71" s="193"/>
      <c r="E71" s="193"/>
      <c r="F71" s="198" t="s">
        <v>405</v>
      </c>
      <c r="G71" s="199">
        <v>10000</v>
      </c>
    </row>
    <row r="72" spans="1:7" ht="12.75">
      <c r="A72" s="196">
        <v>5</v>
      </c>
      <c r="B72" s="193">
        <v>1</v>
      </c>
      <c r="C72" s="193">
        <v>1</v>
      </c>
      <c r="D72" s="193"/>
      <c r="E72" s="197"/>
      <c r="F72" s="198" t="s">
        <v>649</v>
      </c>
      <c r="G72" s="199">
        <f>+SUM(G73:G83)</f>
        <v>33930</v>
      </c>
    </row>
    <row r="73" spans="1:7" ht="12.75">
      <c r="A73" s="196">
        <v>5</v>
      </c>
      <c r="B73" s="193">
        <v>1</v>
      </c>
      <c r="C73" s="193">
        <v>1</v>
      </c>
      <c r="D73" s="193"/>
      <c r="E73" s="193">
        <v>1</v>
      </c>
      <c r="F73" s="200" t="s">
        <v>875</v>
      </c>
      <c r="G73" s="201"/>
    </row>
    <row r="74" spans="1:7" ht="12.75">
      <c r="A74" s="196">
        <v>5</v>
      </c>
      <c r="B74" s="193">
        <v>1</v>
      </c>
      <c r="C74" s="193">
        <v>1</v>
      </c>
      <c r="D74" s="193"/>
      <c r="E74" s="193">
        <v>2</v>
      </c>
      <c r="F74" s="200" t="s">
        <v>876</v>
      </c>
      <c r="G74" s="201"/>
    </row>
    <row r="75" spans="1:7" ht="12.75">
      <c r="A75" s="196">
        <v>5</v>
      </c>
      <c r="B75" s="193">
        <v>1</v>
      </c>
      <c r="C75" s="193">
        <v>1</v>
      </c>
      <c r="D75" s="193"/>
      <c r="E75" s="193">
        <v>3</v>
      </c>
      <c r="F75" s="200" t="s">
        <v>877</v>
      </c>
      <c r="G75" s="201"/>
    </row>
    <row r="76" spans="1:7" ht="12.75">
      <c r="A76" s="196">
        <v>5</v>
      </c>
      <c r="B76" s="193">
        <v>1</v>
      </c>
      <c r="C76" s="193">
        <v>1</v>
      </c>
      <c r="D76" s="193"/>
      <c r="E76" s="193">
        <v>4</v>
      </c>
      <c r="F76" s="200" t="s">
        <v>878</v>
      </c>
      <c r="G76" s="201"/>
    </row>
    <row r="77" spans="1:7" ht="12.75">
      <c r="A77" s="196">
        <v>5</v>
      </c>
      <c r="B77" s="193">
        <v>1</v>
      </c>
      <c r="C77" s="193">
        <v>1</v>
      </c>
      <c r="D77" s="193"/>
      <c r="E77" s="193">
        <v>5</v>
      </c>
      <c r="F77" s="200" t="s">
        <v>879</v>
      </c>
      <c r="G77" s="201"/>
    </row>
    <row r="78" spans="1:7" ht="12.75">
      <c r="A78" s="196">
        <v>5</v>
      </c>
      <c r="B78" s="193">
        <v>1</v>
      </c>
      <c r="C78" s="193">
        <v>1</v>
      </c>
      <c r="D78" s="193"/>
      <c r="E78" s="193">
        <v>6</v>
      </c>
      <c r="F78" s="200" t="s">
        <v>880</v>
      </c>
      <c r="G78" s="201"/>
    </row>
    <row r="79" spans="1:7" ht="12.75">
      <c r="A79" s="196">
        <v>5</v>
      </c>
      <c r="B79" s="193">
        <v>1</v>
      </c>
      <c r="C79" s="193">
        <v>1</v>
      </c>
      <c r="D79" s="193"/>
      <c r="E79" s="193">
        <v>7</v>
      </c>
      <c r="F79" s="200" t="s">
        <v>893</v>
      </c>
      <c r="G79" s="201">
        <v>2850</v>
      </c>
    </row>
    <row r="80" spans="1:7" ht="12.75">
      <c r="A80" s="196">
        <v>5</v>
      </c>
      <c r="B80" s="193">
        <v>1</v>
      </c>
      <c r="C80" s="193">
        <v>1</v>
      </c>
      <c r="D80" s="193"/>
      <c r="E80" s="193">
        <v>8</v>
      </c>
      <c r="F80" s="200" t="s">
        <v>894</v>
      </c>
      <c r="G80" s="201">
        <v>27680</v>
      </c>
    </row>
    <row r="81" spans="1:7" ht="12.75">
      <c r="A81" s="196">
        <v>5</v>
      </c>
      <c r="B81" s="193">
        <v>1</v>
      </c>
      <c r="C81" s="193">
        <v>1</v>
      </c>
      <c r="D81" s="193"/>
      <c r="E81" s="193">
        <v>9</v>
      </c>
      <c r="F81" s="200" t="s">
        <v>897</v>
      </c>
      <c r="G81" s="201"/>
    </row>
    <row r="82" spans="1:7" ht="12.75">
      <c r="A82" s="196">
        <v>5</v>
      </c>
      <c r="B82" s="193">
        <v>1</v>
      </c>
      <c r="C82" s="193">
        <v>1</v>
      </c>
      <c r="D82" s="193"/>
      <c r="E82" s="193">
        <v>10</v>
      </c>
      <c r="F82" s="200" t="s">
        <v>895</v>
      </c>
      <c r="G82" s="201">
        <v>3150</v>
      </c>
    </row>
    <row r="83" spans="1:7" ht="13.5" thickBot="1">
      <c r="A83" s="204">
        <v>5</v>
      </c>
      <c r="B83" s="205">
        <v>1</v>
      </c>
      <c r="C83" s="205">
        <v>1</v>
      </c>
      <c r="D83" s="205"/>
      <c r="E83" s="205" t="s">
        <v>911</v>
      </c>
      <c r="F83" s="207" t="s">
        <v>116</v>
      </c>
      <c r="G83" s="208">
        <v>250</v>
      </c>
    </row>
    <row r="84" spans="6:7" ht="13.5" thickBot="1">
      <c r="F84" s="314" t="s">
        <v>690</v>
      </c>
      <c r="G84" s="297">
        <f>+G6+G21+G36+G51+G72+G71</f>
        <v>3226850</v>
      </c>
    </row>
    <row r="85" ht="12.75">
      <c r="G85" s="68"/>
    </row>
    <row r="86" ht="12.75">
      <c r="G86" s="68"/>
    </row>
    <row r="87" ht="12.75">
      <c r="G87" s="68"/>
    </row>
    <row r="88" ht="12.75">
      <c r="G88" s="68"/>
    </row>
    <row r="89" ht="12.75">
      <c r="G89" s="68"/>
    </row>
    <row r="90" ht="12.75">
      <c r="G90" s="68"/>
    </row>
    <row r="91" ht="12.75">
      <c r="G91" s="68"/>
    </row>
    <row r="92" ht="12.75">
      <c r="G92" s="68"/>
    </row>
    <row r="93" ht="12.75">
      <c r="G93" s="68"/>
    </row>
    <row r="94" ht="12.75">
      <c r="G94" s="68"/>
    </row>
    <row r="95" ht="12.75">
      <c r="G95" s="68"/>
    </row>
    <row r="96" ht="12.75">
      <c r="G96" s="68"/>
    </row>
    <row r="97" ht="12.75">
      <c r="G97" s="68"/>
    </row>
    <row r="98" ht="12.75">
      <c r="G98" s="68"/>
    </row>
    <row r="99" ht="12.75">
      <c r="G99" s="68"/>
    </row>
    <row r="100" ht="12.75">
      <c r="G100" s="68"/>
    </row>
    <row r="101" ht="12.75">
      <c r="G101" s="68"/>
    </row>
    <row r="102" ht="12.75">
      <c r="G102" s="68"/>
    </row>
    <row r="103" ht="12.75">
      <c r="G103" s="68"/>
    </row>
    <row r="104" ht="12.75">
      <c r="G104" s="68"/>
    </row>
    <row r="105" ht="12.75">
      <c r="G105" s="68"/>
    </row>
    <row r="106" ht="12.75">
      <c r="G106" s="68"/>
    </row>
    <row r="107" ht="12.75">
      <c r="G107" s="68"/>
    </row>
    <row r="108" ht="12.75">
      <c r="G108" s="68"/>
    </row>
    <row r="109" ht="12.75">
      <c r="G109" s="68"/>
    </row>
    <row r="110" ht="12.75">
      <c r="G110" s="68"/>
    </row>
    <row r="111" ht="12.75">
      <c r="G111" s="68"/>
    </row>
    <row r="112" ht="12.75">
      <c r="G112" s="68"/>
    </row>
    <row r="113" ht="12.75">
      <c r="G113" s="68"/>
    </row>
    <row r="114" ht="12.75">
      <c r="G114" s="68"/>
    </row>
    <row r="115" ht="12.75">
      <c r="G115" s="68"/>
    </row>
    <row r="116" ht="12.75">
      <c r="G116" s="68"/>
    </row>
    <row r="117" ht="12.75">
      <c r="G117" s="68"/>
    </row>
    <row r="118" ht="12.75">
      <c r="G118" s="68"/>
    </row>
    <row r="119" ht="12.75">
      <c r="G119" s="68"/>
    </row>
    <row r="120" ht="12.75">
      <c r="G120" s="68"/>
    </row>
    <row r="121" ht="12.75">
      <c r="G121" s="68"/>
    </row>
    <row r="122" ht="12.75">
      <c r="G122" s="68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ht="12.75">
      <c r="G128" s="68"/>
    </row>
    <row r="129" ht="12.75">
      <c r="G129" s="68"/>
    </row>
    <row r="130" ht="12.75">
      <c r="G130" s="68"/>
    </row>
    <row r="131" ht="12.75">
      <c r="G131" s="68"/>
    </row>
    <row r="132" ht="12.75">
      <c r="G132" s="68"/>
    </row>
    <row r="133" ht="12.75">
      <c r="G133" s="68"/>
    </row>
    <row r="134" ht="12.75">
      <c r="G134" s="68"/>
    </row>
    <row r="135" ht="12.75">
      <c r="G135" s="68"/>
    </row>
    <row r="136" ht="12.75">
      <c r="G136" s="68"/>
    </row>
    <row r="137" ht="12.75">
      <c r="G137" s="68"/>
    </row>
    <row r="138" ht="12.75">
      <c r="G138" s="68"/>
    </row>
    <row r="139" ht="12.75">
      <c r="G139" s="68"/>
    </row>
    <row r="140" ht="12.75">
      <c r="G140" s="68"/>
    </row>
    <row r="141" ht="12.75">
      <c r="G141" s="68"/>
    </row>
    <row r="142" ht="12.75">
      <c r="G142" s="68"/>
    </row>
    <row r="143" ht="12.75">
      <c r="G143" s="68"/>
    </row>
    <row r="144" ht="12.75">
      <c r="G144" s="68"/>
    </row>
    <row r="145" ht="12.75">
      <c r="G145" s="68"/>
    </row>
    <row r="146" ht="12.75">
      <c r="G146" s="68"/>
    </row>
    <row r="147" ht="12.75">
      <c r="G147" s="68"/>
    </row>
    <row r="148" ht="12.75">
      <c r="G148" s="68"/>
    </row>
    <row r="149" ht="12.75">
      <c r="G149" s="68"/>
    </row>
    <row r="150" ht="12.75">
      <c r="G150" s="68"/>
    </row>
    <row r="151" ht="12.75">
      <c r="G151" s="68"/>
    </row>
    <row r="152" ht="12.75">
      <c r="G152" s="68"/>
    </row>
    <row r="153" ht="12.75">
      <c r="G153" s="68"/>
    </row>
    <row r="154" ht="12.75">
      <c r="G154" s="68"/>
    </row>
    <row r="155" ht="12.75">
      <c r="G155" s="68"/>
    </row>
    <row r="156" ht="12.75">
      <c r="G156" s="68"/>
    </row>
    <row r="157" ht="12.75">
      <c r="G157" s="68"/>
    </row>
    <row r="158" ht="12.75">
      <c r="G158" s="68"/>
    </row>
    <row r="159" ht="12.75">
      <c r="G159" s="68"/>
    </row>
    <row r="160" ht="12.75">
      <c r="G160" s="68"/>
    </row>
    <row r="161" ht="12.75">
      <c r="G161" s="68"/>
    </row>
    <row r="162" ht="12.75">
      <c r="G162" s="68"/>
    </row>
    <row r="163" ht="12.75">
      <c r="G163" s="68"/>
    </row>
    <row r="164" ht="12.75">
      <c r="G164" s="68"/>
    </row>
    <row r="165" ht="12.75">
      <c r="G165" s="68"/>
    </row>
    <row r="166" ht="12.75">
      <c r="G166" s="68"/>
    </row>
    <row r="167" ht="12.75">
      <c r="G167" s="68"/>
    </row>
    <row r="168" ht="12.75">
      <c r="G168" s="68"/>
    </row>
    <row r="169" ht="12.75">
      <c r="G169" s="68"/>
    </row>
    <row r="170" ht="12.75">
      <c r="G170" s="68"/>
    </row>
    <row r="171" ht="12.75">
      <c r="G171" s="68"/>
    </row>
    <row r="172" ht="12.75">
      <c r="G172" s="68"/>
    </row>
    <row r="173" ht="12.75">
      <c r="G173" s="68"/>
    </row>
    <row r="174" ht="12.75">
      <c r="G174" s="68"/>
    </row>
    <row r="175" ht="12.75">
      <c r="G175" s="68"/>
    </row>
  </sheetData>
  <sheetProtection/>
  <mergeCells count="2">
    <mergeCell ref="A2:G2"/>
    <mergeCell ref="A4:E4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97"/>
  <sheetViews>
    <sheetView zoomScale="75" zoomScaleNormal="75" zoomScaleSheetLayoutView="75" zoomScalePageLayoutView="0" workbookViewId="0" topLeftCell="A76">
      <selection activeCell="G84" sqref="G84"/>
    </sheetView>
  </sheetViews>
  <sheetFormatPr defaultColWidth="11.421875" defaultRowHeight="12.75"/>
  <cols>
    <col min="1" max="1" width="6.7109375" style="44" customWidth="1"/>
    <col min="2" max="2" width="8.28125" style="44" bestFit="1" customWidth="1"/>
    <col min="3" max="3" width="59.8515625" style="0" customWidth="1"/>
    <col min="4" max="5" width="13.8515625" style="1" bestFit="1" customWidth="1"/>
  </cols>
  <sheetData>
    <row r="1" spans="1:5" ht="12.75">
      <c r="A1" s="54">
        <f>+recursos!A1</f>
        <v>0</v>
      </c>
      <c r="B1" s="65"/>
      <c r="C1" s="48"/>
      <c r="D1" s="9"/>
      <c r="E1" s="9"/>
    </row>
    <row r="2" spans="1:5" ht="12.75">
      <c r="A2" s="788" t="s">
        <v>382</v>
      </c>
      <c r="B2" s="788"/>
      <c r="C2" s="788"/>
      <c r="D2" s="788"/>
      <c r="E2" s="788"/>
    </row>
    <row r="3" spans="1:5" ht="12.75">
      <c r="A3" s="788" t="s">
        <v>977</v>
      </c>
      <c r="B3" s="788"/>
      <c r="C3" s="788"/>
      <c r="D3" s="788"/>
      <c r="E3" s="788"/>
    </row>
    <row r="4" spans="1:5" ht="5.25" customHeight="1" thickBot="1">
      <c r="A4" s="65"/>
      <c r="B4" s="65"/>
      <c r="C4" s="48"/>
      <c r="D4" s="9"/>
      <c r="E4" s="9"/>
    </row>
    <row r="5" spans="1:5" ht="12.75">
      <c r="A5" s="796" t="s">
        <v>975</v>
      </c>
      <c r="B5" s="797"/>
      <c r="C5" s="315" t="s">
        <v>902</v>
      </c>
      <c r="D5" s="315" t="s">
        <v>976</v>
      </c>
      <c r="E5" s="315" t="s">
        <v>976</v>
      </c>
    </row>
    <row r="6" spans="1:5" ht="13.5" thickBot="1">
      <c r="A6" s="316"/>
      <c r="B6" s="317"/>
      <c r="C6" s="316"/>
      <c r="D6" s="316" t="s">
        <v>973</v>
      </c>
      <c r="E6" s="316" t="s">
        <v>974</v>
      </c>
    </row>
    <row r="7" spans="1:5" ht="13.5" thickTop="1">
      <c r="A7" s="318" t="s">
        <v>898</v>
      </c>
      <c r="B7" s="319"/>
      <c r="C7" s="320" t="s">
        <v>899</v>
      </c>
      <c r="D7" s="321"/>
      <c r="E7" s="322">
        <f>+D8+D16+D17+D20+D22+D23+D24</f>
        <v>27696140</v>
      </c>
    </row>
    <row r="8" spans="1:5" ht="12.75">
      <c r="A8" s="323" t="s">
        <v>898</v>
      </c>
      <c r="B8" s="203" t="s">
        <v>681</v>
      </c>
      <c r="C8" s="198" t="s">
        <v>903</v>
      </c>
      <c r="D8" s="324">
        <f>+SUM(D9:D15)</f>
        <v>9584410</v>
      </c>
      <c r="E8" s="304"/>
    </row>
    <row r="9" spans="1:5" ht="12.75">
      <c r="A9" s="323"/>
      <c r="B9" s="203"/>
      <c r="C9" s="200" t="s">
        <v>904</v>
      </c>
      <c r="D9" s="258">
        <f>+'FF-PARTIDAS'!D10</f>
        <v>2285840</v>
      </c>
      <c r="E9" s="304"/>
    </row>
    <row r="10" spans="1:5" ht="12.75">
      <c r="A10" s="323"/>
      <c r="B10" s="203"/>
      <c r="C10" s="200" t="s">
        <v>905</v>
      </c>
      <c r="D10" s="258">
        <f>+'FF-PARTIDAS'!D11</f>
        <v>980170</v>
      </c>
      <c r="E10" s="304"/>
    </row>
    <row r="11" spans="1:5" ht="12.75">
      <c r="A11" s="323"/>
      <c r="B11" s="203"/>
      <c r="C11" s="200" t="s">
        <v>906</v>
      </c>
      <c r="D11" s="258">
        <f>+'FF-PARTIDAS'!D12</f>
        <v>1044060</v>
      </c>
      <c r="E11" s="304"/>
    </row>
    <row r="12" spans="1:5" ht="12.75">
      <c r="A12" s="323"/>
      <c r="B12" s="203"/>
      <c r="C12" s="200" t="s">
        <v>907</v>
      </c>
      <c r="D12" s="258">
        <f>+'FF-PARTIDAS'!D13</f>
        <v>849970</v>
      </c>
      <c r="E12" s="304"/>
    </row>
    <row r="13" spans="1:5" ht="12.75">
      <c r="A13" s="323"/>
      <c r="B13" s="203"/>
      <c r="C13" s="200" t="s">
        <v>908</v>
      </c>
      <c r="D13" s="258">
        <f>+'FF-PARTIDAS'!D14</f>
        <v>1423640</v>
      </c>
      <c r="E13" s="304"/>
    </row>
    <row r="14" spans="1:5" ht="12.75">
      <c r="A14" s="303"/>
      <c r="B14" s="197"/>
      <c r="C14" s="200" t="s">
        <v>930</v>
      </c>
      <c r="D14" s="258">
        <f>+'FF-PARTIDAS'!D15</f>
        <v>2088860</v>
      </c>
      <c r="E14" s="304"/>
    </row>
    <row r="15" spans="1:5" ht="12.75">
      <c r="A15" s="303"/>
      <c r="B15" s="197"/>
      <c r="C15" s="200" t="s">
        <v>417</v>
      </c>
      <c r="D15" s="258">
        <f>+'FF-PARTIDAS'!D16</f>
        <v>911870</v>
      </c>
      <c r="E15" s="304"/>
    </row>
    <row r="16" spans="1:5" s="33" customFormat="1" ht="12.75">
      <c r="A16" s="323" t="s">
        <v>898</v>
      </c>
      <c r="B16" s="203" t="s">
        <v>909</v>
      </c>
      <c r="C16" s="198" t="s">
        <v>910</v>
      </c>
      <c r="D16" s="324">
        <v>0</v>
      </c>
      <c r="E16" s="325"/>
    </row>
    <row r="17" spans="1:5" s="33" customFormat="1" ht="12.75">
      <c r="A17" s="323" t="s">
        <v>898</v>
      </c>
      <c r="B17" s="203" t="s">
        <v>911</v>
      </c>
      <c r="C17" s="198" t="s">
        <v>912</v>
      </c>
      <c r="D17" s="324">
        <f>+D18+D19</f>
        <v>3226850</v>
      </c>
      <c r="E17" s="325"/>
    </row>
    <row r="18" spans="1:5" ht="12.75">
      <c r="A18" s="303"/>
      <c r="B18" s="197"/>
      <c r="C18" s="200" t="s">
        <v>913</v>
      </c>
      <c r="D18" s="258">
        <f>+'FF-PARTIDAS'!D19</f>
        <v>3226850</v>
      </c>
      <c r="E18" s="325"/>
    </row>
    <row r="19" spans="1:5" ht="12.75">
      <c r="A19" s="303"/>
      <c r="B19" s="197"/>
      <c r="C19" s="200" t="s">
        <v>914</v>
      </c>
      <c r="D19" s="258"/>
      <c r="E19" s="325"/>
    </row>
    <row r="20" spans="1:5" s="33" customFormat="1" ht="12.75">
      <c r="A20" s="323" t="s">
        <v>898</v>
      </c>
      <c r="B20" s="203" t="s">
        <v>915</v>
      </c>
      <c r="C20" s="198" t="s">
        <v>916</v>
      </c>
      <c r="D20" s="324">
        <f>+D21</f>
        <v>1215480</v>
      </c>
      <c r="E20" s="325"/>
    </row>
    <row r="21" spans="1:5" s="48" customFormat="1" ht="12.75">
      <c r="A21" s="303"/>
      <c r="B21" s="197"/>
      <c r="C21" s="200" t="s">
        <v>917</v>
      </c>
      <c r="D21" s="258">
        <f>+'FF-PARTIDAS'!D22</f>
        <v>1215480</v>
      </c>
      <c r="E21" s="325"/>
    </row>
    <row r="22" spans="1:5" s="33" customFormat="1" ht="12.75">
      <c r="A22" s="323" t="s">
        <v>898</v>
      </c>
      <c r="B22" s="203" t="s">
        <v>918</v>
      </c>
      <c r="C22" s="198" t="s">
        <v>919</v>
      </c>
      <c r="D22" s="324">
        <v>0</v>
      </c>
      <c r="E22" s="325"/>
    </row>
    <row r="23" spans="1:5" ht="12.75">
      <c r="A23" s="323" t="s">
        <v>898</v>
      </c>
      <c r="B23" s="203" t="s">
        <v>920</v>
      </c>
      <c r="C23" s="198" t="s">
        <v>921</v>
      </c>
      <c r="D23" s="324">
        <v>0</v>
      </c>
      <c r="E23" s="325"/>
    </row>
    <row r="24" spans="1:5" s="33" customFormat="1" ht="12.75">
      <c r="A24" s="323" t="s">
        <v>898</v>
      </c>
      <c r="B24" s="203" t="s">
        <v>922</v>
      </c>
      <c r="C24" s="198" t="s">
        <v>923</v>
      </c>
      <c r="D24" s="324">
        <f>+SUM(D25:D30)</f>
        <v>13669400</v>
      </c>
      <c r="E24" s="325"/>
    </row>
    <row r="25" spans="1:5" s="48" customFormat="1" ht="12.75">
      <c r="A25" s="303"/>
      <c r="B25" s="197"/>
      <c r="C25" s="200" t="s">
        <v>924</v>
      </c>
      <c r="D25" s="258">
        <f>+'FF-PARTIDAS'!D26</f>
        <v>397590</v>
      </c>
      <c r="E25" s="325"/>
    </row>
    <row r="26" spans="1:5" s="48" customFormat="1" ht="12.75">
      <c r="A26" s="303"/>
      <c r="B26" s="197"/>
      <c r="C26" s="200" t="s">
        <v>925</v>
      </c>
      <c r="D26" s="258">
        <f>+'FF-PARTIDAS'!D27</f>
        <v>520940</v>
      </c>
      <c r="E26" s="325"/>
    </row>
    <row r="27" spans="1:5" s="48" customFormat="1" ht="12.75">
      <c r="A27" s="303"/>
      <c r="B27" s="197"/>
      <c r="C27" s="200" t="s">
        <v>926</v>
      </c>
      <c r="D27" s="258">
        <f>+'FF-PARTIDAS'!D28</f>
        <v>709320</v>
      </c>
      <c r="E27" s="325"/>
    </row>
    <row r="28" spans="1:5" s="48" customFormat="1" ht="12.75">
      <c r="A28" s="303"/>
      <c r="B28" s="197"/>
      <c r="C28" s="200" t="s">
        <v>927</v>
      </c>
      <c r="D28" s="258">
        <f>+'FF-PARTIDAS'!D29</f>
        <v>1340330</v>
      </c>
      <c r="E28" s="325"/>
    </row>
    <row r="29" spans="1:5" s="48" customFormat="1" ht="12.75">
      <c r="A29" s="303"/>
      <c r="B29" s="197"/>
      <c r="C29" s="200" t="s">
        <v>928</v>
      </c>
      <c r="D29" s="258">
        <f>+'FF-PARTIDAS'!D30</f>
        <v>1577940</v>
      </c>
      <c r="E29" s="325"/>
    </row>
    <row r="30" spans="1:5" s="48" customFormat="1" ht="12.75">
      <c r="A30" s="303"/>
      <c r="B30" s="197"/>
      <c r="C30" s="200" t="s">
        <v>929</v>
      </c>
      <c r="D30" s="258">
        <f>+'FF-PARTIDAS'!D31</f>
        <v>9123280</v>
      </c>
      <c r="E30" s="325"/>
    </row>
    <row r="31" spans="1:5" s="33" customFormat="1" ht="12.75">
      <c r="A31" s="323" t="s">
        <v>900</v>
      </c>
      <c r="B31" s="203"/>
      <c r="C31" s="198" t="s">
        <v>901</v>
      </c>
      <c r="D31" s="324"/>
      <c r="E31" s="325">
        <f>+D32+D33</f>
        <v>1589600</v>
      </c>
    </row>
    <row r="32" spans="1:5" s="33" customFormat="1" ht="12.75">
      <c r="A32" s="323" t="s">
        <v>900</v>
      </c>
      <c r="B32" s="203" t="s">
        <v>666</v>
      </c>
      <c r="C32" s="198" t="s">
        <v>931</v>
      </c>
      <c r="D32" s="324">
        <v>0</v>
      </c>
      <c r="E32" s="325"/>
    </row>
    <row r="33" spans="1:5" s="33" customFormat="1" ht="12.75">
      <c r="A33" s="323" t="s">
        <v>900</v>
      </c>
      <c r="B33" s="203" t="s">
        <v>922</v>
      </c>
      <c r="C33" s="198" t="s">
        <v>932</v>
      </c>
      <c r="D33" s="324">
        <f>+D34</f>
        <v>1589600</v>
      </c>
      <c r="E33" s="325"/>
    </row>
    <row r="34" spans="1:5" s="33" customFormat="1" ht="12.75">
      <c r="A34" s="323"/>
      <c r="B34" s="203"/>
      <c r="C34" s="200" t="s">
        <v>962</v>
      </c>
      <c r="D34" s="258">
        <f>+'FF-PARTIDAS'!D35</f>
        <v>1589600</v>
      </c>
      <c r="E34" s="325"/>
    </row>
    <row r="35" spans="1:5" s="33" customFormat="1" ht="12.75">
      <c r="A35" s="323" t="s">
        <v>933</v>
      </c>
      <c r="B35" s="203"/>
      <c r="C35" s="198" t="s">
        <v>934</v>
      </c>
      <c r="D35" s="324"/>
      <c r="E35" s="325">
        <f>+D36+D38+D42</f>
        <v>26550214.653</v>
      </c>
    </row>
    <row r="36" spans="1:5" s="33" customFormat="1" ht="12.75">
      <c r="A36" s="323" t="s">
        <v>933</v>
      </c>
      <c r="B36" s="203" t="s">
        <v>666</v>
      </c>
      <c r="C36" s="198" t="s">
        <v>935</v>
      </c>
      <c r="D36" s="324">
        <f>+SUM(D37:D37)</f>
        <v>2394584.653</v>
      </c>
      <c r="E36" s="325"/>
    </row>
    <row r="37" spans="1:5" ht="12.75">
      <c r="A37" s="303"/>
      <c r="B37" s="197"/>
      <c r="C37" s="200" t="s">
        <v>81</v>
      </c>
      <c r="D37" s="258">
        <f>+'FF-PARTIDAS'!D48</f>
        <v>2394584.653</v>
      </c>
      <c r="E37" s="304"/>
    </row>
    <row r="38" spans="1:5" s="48" customFormat="1" ht="12.75">
      <c r="A38" s="323" t="s">
        <v>933</v>
      </c>
      <c r="B38" s="203" t="s">
        <v>681</v>
      </c>
      <c r="C38" s="198" t="s">
        <v>936</v>
      </c>
      <c r="D38" s="324">
        <f>+SUM(D39:D41)</f>
        <v>24155630</v>
      </c>
      <c r="E38" s="304"/>
    </row>
    <row r="39" spans="1:5" s="48" customFormat="1" ht="12.75">
      <c r="A39" s="303"/>
      <c r="B39" s="197"/>
      <c r="C39" s="200" t="s">
        <v>34</v>
      </c>
      <c r="D39" s="258">
        <f>+'FF-PARTIDAS'!D50</f>
        <v>2548300</v>
      </c>
      <c r="E39" s="304"/>
    </row>
    <row r="40" spans="1:5" s="48" customFormat="1" ht="12.75">
      <c r="A40" s="303"/>
      <c r="B40" s="197"/>
      <c r="C40" s="200" t="s">
        <v>986</v>
      </c>
      <c r="D40" s="258">
        <f>+'FF-PARTIDAS'!D51</f>
        <v>20321510</v>
      </c>
      <c r="E40" s="304"/>
    </row>
    <row r="41" spans="1:5" s="48" customFormat="1" ht="12.75">
      <c r="A41" s="303"/>
      <c r="B41" s="197"/>
      <c r="C41" s="200" t="s">
        <v>416</v>
      </c>
      <c r="D41" s="258">
        <f>+'FF-PARTIDAS'!D52</f>
        <v>1285820</v>
      </c>
      <c r="E41" s="304"/>
    </row>
    <row r="42" spans="1:5" s="33" customFormat="1" ht="12.75">
      <c r="A42" s="323" t="s">
        <v>933</v>
      </c>
      <c r="B42" s="203" t="s">
        <v>922</v>
      </c>
      <c r="C42" s="198" t="s">
        <v>937</v>
      </c>
      <c r="D42" s="324">
        <v>0</v>
      </c>
      <c r="E42" s="325"/>
    </row>
    <row r="43" spans="1:5" s="33" customFormat="1" ht="12.75">
      <c r="A43" s="323" t="s">
        <v>938</v>
      </c>
      <c r="B43" s="203"/>
      <c r="C43" s="198" t="s">
        <v>939</v>
      </c>
      <c r="D43" s="324"/>
      <c r="E43" s="325">
        <f>+D44+D46+D47+D48</f>
        <v>3652000</v>
      </c>
    </row>
    <row r="44" spans="1:5" s="33" customFormat="1" ht="12.75">
      <c r="A44" s="323" t="s">
        <v>938</v>
      </c>
      <c r="B44" s="203" t="s">
        <v>666</v>
      </c>
      <c r="C44" s="198" t="s">
        <v>940</v>
      </c>
      <c r="D44" s="324">
        <f>+SUM(D45:D45)</f>
        <v>3652000</v>
      </c>
      <c r="E44" s="325"/>
    </row>
    <row r="45" spans="1:5" ht="12.75">
      <c r="A45" s="303"/>
      <c r="B45" s="197"/>
      <c r="C45" s="200" t="s">
        <v>941</v>
      </c>
      <c r="D45" s="258">
        <f>+'FF-PARTIDAS'!D56</f>
        <v>3652000</v>
      </c>
      <c r="E45" s="304"/>
    </row>
    <row r="46" spans="1:5" s="33" customFormat="1" ht="12.75">
      <c r="A46" s="323" t="s">
        <v>938</v>
      </c>
      <c r="B46" s="203" t="s">
        <v>681</v>
      </c>
      <c r="C46" s="198" t="s">
        <v>942</v>
      </c>
      <c r="D46" s="324">
        <v>0</v>
      </c>
      <c r="E46" s="325"/>
    </row>
    <row r="47" spans="1:5" s="33" customFormat="1" ht="12.75">
      <c r="A47" s="323" t="s">
        <v>938</v>
      </c>
      <c r="B47" s="203" t="s">
        <v>909</v>
      </c>
      <c r="C47" s="198" t="s">
        <v>943</v>
      </c>
      <c r="D47" s="324">
        <v>0</v>
      </c>
      <c r="E47" s="325"/>
    </row>
    <row r="48" spans="1:5" s="33" customFormat="1" ht="12.75">
      <c r="A48" s="323" t="s">
        <v>938</v>
      </c>
      <c r="B48" s="203" t="s">
        <v>922</v>
      </c>
      <c r="C48" s="198" t="s">
        <v>944</v>
      </c>
      <c r="D48" s="324">
        <v>0</v>
      </c>
      <c r="E48" s="325"/>
    </row>
    <row r="49" spans="1:5" s="33" customFormat="1" ht="12.75">
      <c r="A49" s="323" t="s">
        <v>945</v>
      </c>
      <c r="B49" s="203"/>
      <c r="C49" s="198" t="s">
        <v>946</v>
      </c>
      <c r="D49" s="324"/>
      <c r="E49" s="325">
        <f>+D50+D51+D52+D53+D54+D55+D57+D58+D60+D61+D62+D63</f>
        <v>7829900</v>
      </c>
    </row>
    <row r="50" spans="1:5" s="33" customFormat="1" ht="12.75">
      <c r="A50" s="323" t="s">
        <v>945</v>
      </c>
      <c r="B50" s="203" t="s">
        <v>666</v>
      </c>
      <c r="C50" s="198" t="s">
        <v>947</v>
      </c>
      <c r="D50" s="324">
        <v>0</v>
      </c>
      <c r="E50" s="325"/>
    </row>
    <row r="51" spans="1:5" s="33" customFormat="1" ht="12.75">
      <c r="A51" s="323" t="s">
        <v>945</v>
      </c>
      <c r="B51" s="203" t="s">
        <v>673</v>
      </c>
      <c r="C51" s="198" t="s">
        <v>948</v>
      </c>
      <c r="D51" s="324">
        <v>0</v>
      </c>
      <c r="E51" s="325"/>
    </row>
    <row r="52" spans="1:5" s="33" customFormat="1" ht="12.75">
      <c r="A52" s="323" t="s">
        <v>945</v>
      </c>
      <c r="B52" s="203" t="s">
        <v>681</v>
      </c>
      <c r="C52" s="198" t="s">
        <v>949</v>
      </c>
      <c r="D52" s="324">
        <v>0</v>
      </c>
      <c r="E52" s="325"/>
    </row>
    <row r="53" spans="1:5" s="33" customFormat="1" ht="12.75">
      <c r="A53" s="323" t="s">
        <v>945</v>
      </c>
      <c r="B53" s="203" t="s">
        <v>909</v>
      </c>
      <c r="C53" s="198" t="s">
        <v>950</v>
      </c>
      <c r="D53" s="324">
        <v>0</v>
      </c>
      <c r="E53" s="325"/>
    </row>
    <row r="54" spans="1:5" s="33" customFormat="1" ht="12.75">
      <c r="A54" s="323" t="s">
        <v>945</v>
      </c>
      <c r="B54" s="203" t="s">
        <v>911</v>
      </c>
      <c r="C54" s="198" t="s">
        <v>951</v>
      </c>
      <c r="D54" s="324">
        <v>0</v>
      </c>
      <c r="E54" s="325"/>
    </row>
    <row r="55" spans="1:5" s="33" customFormat="1" ht="12.75">
      <c r="A55" s="323" t="s">
        <v>945</v>
      </c>
      <c r="B55" s="203" t="s">
        <v>952</v>
      </c>
      <c r="C55" s="198" t="s">
        <v>953</v>
      </c>
      <c r="D55" s="324">
        <f>+D56</f>
        <v>216710</v>
      </c>
      <c r="E55" s="325"/>
    </row>
    <row r="56" spans="1:5" s="33" customFormat="1" ht="12.75">
      <c r="A56" s="323"/>
      <c r="B56" s="203"/>
      <c r="C56" s="200" t="s">
        <v>953</v>
      </c>
      <c r="D56" s="258">
        <f>+'FF-PARTIDAS'!D67</f>
        <v>216710</v>
      </c>
      <c r="E56" s="325"/>
    </row>
    <row r="57" spans="1:5" s="33" customFormat="1" ht="12.75">
      <c r="A57" s="323" t="s">
        <v>945</v>
      </c>
      <c r="B57" s="203" t="s">
        <v>915</v>
      </c>
      <c r="C57" s="198" t="s">
        <v>633</v>
      </c>
      <c r="D57" s="324">
        <v>0</v>
      </c>
      <c r="E57" s="325"/>
    </row>
    <row r="58" spans="1:5" s="33" customFormat="1" ht="12.75">
      <c r="A58" s="323" t="s">
        <v>945</v>
      </c>
      <c r="B58" s="203" t="s">
        <v>954</v>
      </c>
      <c r="C58" s="198" t="s">
        <v>955</v>
      </c>
      <c r="D58" s="324">
        <f>+D59</f>
        <v>7112860</v>
      </c>
      <c r="E58" s="325"/>
    </row>
    <row r="59" spans="1:5" ht="12.75">
      <c r="A59" s="303"/>
      <c r="B59" s="197"/>
      <c r="C59" s="200" t="s">
        <v>980</v>
      </c>
      <c r="D59" s="258">
        <f>+'FF-PARTIDAS'!D70</f>
        <v>7112860</v>
      </c>
      <c r="E59" s="325"/>
    </row>
    <row r="60" spans="1:5" s="33" customFormat="1" ht="12.75">
      <c r="A60" s="323" t="s">
        <v>945</v>
      </c>
      <c r="B60" s="203" t="s">
        <v>956</v>
      </c>
      <c r="C60" s="198" t="s">
        <v>856</v>
      </c>
      <c r="D60" s="324">
        <v>0</v>
      </c>
      <c r="E60" s="325"/>
    </row>
    <row r="61" spans="1:5" s="33" customFormat="1" ht="12.75">
      <c r="A61" s="323" t="s">
        <v>945</v>
      </c>
      <c r="B61" s="203" t="s">
        <v>918</v>
      </c>
      <c r="C61" s="198" t="s">
        <v>957</v>
      </c>
      <c r="D61" s="324">
        <v>0</v>
      </c>
      <c r="E61" s="325"/>
    </row>
    <row r="62" spans="1:5" s="33" customFormat="1" ht="12.75">
      <c r="A62" s="323" t="s">
        <v>945</v>
      </c>
      <c r="B62" s="203" t="s">
        <v>920</v>
      </c>
      <c r="C62" s="198" t="s">
        <v>958</v>
      </c>
      <c r="D62" s="324">
        <v>0</v>
      </c>
      <c r="E62" s="325"/>
    </row>
    <row r="63" spans="1:5" s="33" customFormat="1" ht="12.75">
      <c r="A63" s="323" t="s">
        <v>945</v>
      </c>
      <c r="B63" s="203" t="s">
        <v>922</v>
      </c>
      <c r="C63" s="198" t="s">
        <v>959</v>
      </c>
      <c r="D63" s="324">
        <f>+D64</f>
        <v>500330</v>
      </c>
      <c r="E63" s="325"/>
    </row>
    <row r="64" spans="1:5" s="33" customFormat="1" ht="13.5" thickBot="1">
      <c r="A64" s="326"/>
      <c r="B64" s="327"/>
      <c r="C64" s="306" t="s">
        <v>35</v>
      </c>
      <c r="D64" s="328">
        <f>+'FF-PARTIDAS'!D75</f>
        <v>500330</v>
      </c>
      <c r="E64" s="329"/>
    </row>
    <row r="65" spans="1:5" ht="14.25" thickBot="1" thickTop="1">
      <c r="A65" s="794" t="s">
        <v>633</v>
      </c>
      <c r="B65" s="795"/>
      <c r="C65" s="795"/>
      <c r="D65" s="247"/>
      <c r="E65" s="173">
        <f>SUM(E7:E64)</f>
        <v>67317854.653</v>
      </c>
    </row>
    <row r="66" spans="1:5" s="33" customFormat="1" ht="12.75">
      <c r="A66" s="34"/>
      <c r="B66" s="34"/>
      <c r="C66" s="48"/>
      <c r="D66" s="41"/>
      <c r="E66" s="41"/>
    </row>
    <row r="67" spans="1:5" s="33" customFormat="1" ht="12.75">
      <c r="A67" s="102">
        <f>+A1</f>
        <v>0</v>
      </c>
      <c r="B67" s="65"/>
      <c r="C67" s="48"/>
      <c r="D67" s="9"/>
      <c r="E67" s="9"/>
    </row>
    <row r="68" spans="1:5" s="33" customFormat="1" ht="12.75">
      <c r="A68" s="788" t="s">
        <v>382</v>
      </c>
      <c r="B68" s="788"/>
      <c r="C68" s="788"/>
      <c r="D68" s="788"/>
      <c r="E68" s="788"/>
    </row>
    <row r="69" spans="1:5" s="33" customFormat="1" ht="12.75">
      <c r="A69" s="65"/>
      <c r="B69" s="65"/>
      <c r="C69" s="48"/>
      <c r="D69" s="9"/>
      <c r="E69" s="9"/>
    </row>
    <row r="70" spans="1:5" s="33" customFormat="1" ht="12.75">
      <c r="A70" s="788" t="s">
        <v>977</v>
      </c>
      <c r="B70" s="788"/>
      <c r="C70" s="788"/>
      <c r="D70" s="788"/>
      <c r="E70" s="788"/>
    </row>
    <row r="71" spans="1:5" s="33" customFormat="1" ht="12.75">
      <c r="A71" s="34"/>
      <c r="B71" s="34"/>
      <c r="C71" s="48"/>
      <c r="D71" s="41"/>
      <c r="E71" s="41"/>
    </row>
    <row r="72" spans="1:5" ht="13.5" thickBot="1">
      <c r="A72" s="45"/>
      <c r="B72" s="65"/>
      <c r="C72" s="48"/>
      <c r="D72" s="9"/>
      <c r="E72" s="9"/>
    </row>
    <row r="73" spans="1:5" ht="12.75">
      <c r="A73" s="796" t="s">
        <v>975</v>
      </c>
      <c r="B73" s="797"/>
      <c r="C73" s="315" t="s">
        <v>902</v>
      </c>
      <c r="D73" s="315" t="s">
        <v>976</v>
      </c>
      <c r="E73" s="315" t="s">
        <v>976</v>
      </c>
    </row>
    <row r="74" spans="1:5" ht="13.5" thickBot="1">
      <c r="A74" s="316"/>
      <c r="B74" s="317"/>
      <c r="C74" s="316"/>
      <c r="D74" s="316" t="s">
        <v>973</v>
      </c>
      <c r="E74" s="316" t="s">
        <v>974</v>
      </c>
    </row>
    <row r="75" spans="1:5" s="11" customFormat="1" ht="13.5" thickTop="1">
      <c r="A75" s="330"/>
      <c r="B75" s="331"/>
      <c r="C75" s="332" t="s">
        <v>633</v>
      </c>
      <c r="D75" s="333"/>
      <c r="E75" s="334">
        <f>+E65</f>
        <v>67317854.653</v>
      </c>
    </row>
    <row r="76" spans="1:5" s="33" customFormat="1" ht="12.75">
      <c r="A76" s="323" t="s">
        <v>960</v>
      </c>
      <c r="B76" s="203"/>
      <c r="C76" s="198" t="s">
        <v>961</v>
      </c>
      <c r="D76" s="324"/>
      <c r="E76" s="325">
        <f>+D77+D78+D80+D82+D84</f>
        <v>7064200</v>
      </c>
    </row>
    <row r="77" spans="1:5" s="33" customFormat="1" ht="12.75">
      <c r="A77" s="323" t="s">
        <v>960</v>
      </c>
      <c r="B77" s="203" t="s">
        <v>666</v>
      </c>
      <c r="C77" s="198" t="s">
        <v>1089</v>
      </c>
      <c r="D77" s="324">
        <v>0</v>
      </c>
      <c r="E77" s="325"/>
    </row>
    <row r="78" spans="1:5" s="33" customFormat="1" ht="12.75">
      <c r="A78" s="323" t="s">
        <v>960</v>
      </c>
      <c r="B78" s="203" t="s">
        <v>681</v>
      </c>
      <c r="C78" s="198" t="s">
        <v>963</v>
      </c>
      <c r="D78" s="324">
        <f>+SUM(D79:D79)</f>
        <v>2558160</v>
      </c>
      <c r="E78" s="325"/>
    </row>
    <row r="79" spans="1:5" s="33" customFormat="1" ht="12.75">
      <c r="A79" s="323"/>
      <c r="B79" s="203"/>
      <c r="C79" s="200" t="s">
        <v>941</v>
      </c>
      <c r="D79" s="258">
        <f>+'FF-PARTIDAS'!D90</f>
        <v>2558160</v>
      </c>
      <c r="E79" s="325"/>
    </row>
    <row r="80" spans="1:5" s="33" customFormat="1" ht="12.75">
      <c r="A80" s="323" t="s">
        <v>960</v>
      </c>
      <c r="B80" s="203" t="s">
        <v>909</v>
      </c>
      <c r="C80" s="198" t="s">
        <v>964</v>
      </c>
      <c r="D80" s="324">
        <f>+SUM(D81:D81)</f>
        <v>2379220</v>
      </c>
      <c r="E80" s="325"/>
    </row>
    <row r="81" spans="1:5" s="33" customFormat="1" ht="12.75">
      <c r="A81" s="323"/>
      <c r="B81" s="203"/>
      <c r="C81" s="200" t="s">
        <v>33</v>
      </c>
      <c r="D81" s="258">
        <f>+'FF-PARTIDAS'!D92</f>
        <v>2379220</v>
      </c>
      <c r="E81" s="325"/>
    </row>
    <row r="82" spans="1:5" s="33" customFormat="1" ht="12.75">
      <c r="A82" s="323" t="s">
        <v>960</v>
      </c>
      <c r="B82" s="203" t="s">
        <v>911</v>
      </c>
      <c r="C82" s="198" t="s">
        <v>965</v>
      </c>
      <c r="D82" s="324">
        <f>+SUM(D83:D83)</f>
        <v>2126820</v>
      </c>
      <c r="E82" s="325"/>
    </row>
    <row r="83" spans="1:5" ht="12.75">
      <c r="A83" s="303"/>
      <c r="B83" s="197"/>
      <c r="C83" s="200" t="s">
        <v>965</v>
      </c>
      <c r="D83" s="258">
        <f>+'FF-PARTIDAS'!D94</f>
        <v>2126820</v>
      </c>
      <c r="E83" s="325"/>
    </row>
    <row r="84" spans="1:5" s="33" customFormat="1" ht="12.75">
      <c r="A84" s="323" t="s">
        <v>960</v>
      </c>
      <c r="B84" s="203" t="s">
        <v>922</v>
      </c>
      <c r="C84" s="198" t="s">
        <v>966</v>
      </c>
      <c r="D84" s="324">
        <v>0</v>
      </c>
      <c r="E84" s="325"/>
    </row>
    <row r="85" spans="1:5" ht="12.75">
      <c r="A85" s="323" t="s">
        <v>967</v>
      </c>
      <c r="B85" s="203"/>
      <c r="C85" s="198" t="s">
        <v>968</v>
      </c>
      <c r="D85" s="258"/>
      <c r="E85" s="325">
        <f>+D86</f>
        <v>3682780</v>
      </c>
    </row>
    <row r="86" spans="1:5" s="33" customFormat="1" ht="12.75">
      <c r="A86" s="323" t="s">
        <v>967</v>
      </c>
      <c r="B86" s="203" t="s">
        <v>666</v>
      </c>
      <c r="C86" s="198" t="s">
        <v>969</v>
      </c>
      <c r="D86" s="324">
        <f>+'hac juris'!G25</f>
        <v>3682780</v>
      </c>
      <c r="E86" s="325"/>
    </row>
    <row r="87" spans="1:5" ht="12.75">
      <c r="A87" s="323" t="s">
        <v>970</v>
      </c>
      <c r="B87" s="203"/>
      <c r="C87" s="198" t="s">
        <v>971</v>
      </c>
      <c r="D87" s="258"/>
      <c r="E87" s="325">
        <f>+D88</f>
        <v>31372357</v>
      </c>
    </row>
    <row r="88" spans="1:5" s="33" customFormat="1" ht="12.75">
      <c r="A88" s="323" t="s">
        <v>970</v>
      </c>
      <c r="B88" s="203" t="s">
        <v>666</v>
      </c>
      <c r="C88" s="198" t="s">
        <v>972</v>
      </c>
      <c r="D88" s="324">
        <f>+SUM(D89:D95)</f>
        <v>31372357</v>
      </c>
      <c r="E88" s="325"/>
    </row>
    <row r="89" spans="1:5" ht="12.75">
      <c r="A89" s="303"/>
      <c r="B89" s="197"/>
      <c r="C89" s="200" t="s">
        <v>978</v>
      </c>
      <c r="D89" s="258">
        <f>+'FF-PARTIDAS'!D100</f>
        <v>1388080</v>
      </c>
      <c r="E89" s="325"/>
    </row>
    <row r="90" spans="1:5" ht="12.75">
      <c r="A90" s="303"/>
      <c r="B90" s="197"/>
      <c r="C90" s="200" t="s">
        <v>983</v>
      </c>
      <c r="D90" s="258">
        <f>+'FF-PARTIDAS'!D101</f>
        <v>1493690</v>
      </c>
      <c r="E90" s="325"/>
    </row>
    <row r="91" spans="1:5" ht="12.75">
      <c r="A91" s="303"/>
      <c r="B91" s="197"/>
      <c r="C91" s="200" t="s">
        <v>979</v>
      </c>
      <c r="D91" s="258">
        <f>+'FF-PARTIDAS'!D102</f>
        <v>10114540</v>
      </c>
      <c r="E91" s="325"/>
    </row>
    <row r="92" spans="1:5" ht="12.75">
      <c r="A92" s="303"/>
      <c r="B92" s="197"/>
      <c r="C92" s="200" t="s">
        <v>981</v>
      </c>
      <c r="D92" s="258">
        <f>+'FF-PARTIDAS'!D103</f>
        <v>1623560</v>
      </c>
      <c r="E92" s="325"/>
    </row>
    <row r="93" spans="1:5" ht="12.75">
      <c r="A93" s="303"/>
      <c r="B93" s="197"/>
      <c r="C93" s="200" t="s">
        <v>982</v>
      </c>
      <c r="D93" s="258">
        <f>+'FF-PARTIDAS'!D104</f>
        <v>1132507</v>
      </c>
      <c r="E93" s="325"/>
    </row>
    <row r="94" spans="1:5" ht="12.75">
      <c r="A94" s="303"/>
      <c r="B94" s="197"/>
      <c r="C94" s="200" t="s">
        <v>984</v>
      </c>
      <c r="D94" s="258">
        <f>+'FF-PARTIDAS'!D105</f>
        <v>13615740</v>
      </c>
      <c r="E94" s="325"/>
    </row>
    <row r="95" spans="1:5" ht="12.75">
      <c r="A95" s="303"/>
      <c r="B95" s="197"/>
      <c r="C95" s="200" t="s">
        <v>985</v>
      </c>
      <c r="D95" s="258">
        <f>+'FF-PARTIDAS'!D106</f>
        <v>2004240</v>
      </c>
      <c r="E95" s="325"/>
    </row>
    <row r="96" spans="1:5" ht="13.5" thickBot="1">
      <c r="A96" s="305"/>
      <c r="B96" s="335"/>
      <c r="C96" s="306"/>
      <c r="D96" s="328"/>
      <c r="E96" s="329"/>
    </row>
    <row r="97" spans="1:5" ht="14.25" thickBot="1" thickTop="1">
      <c r="A97" s="792" t="s">
        <v>638</v>
      </c>
      <c r="B97" s="793"/>
      <c r="C97" s="793"/>
      <c r="D97" s="298"/>
      <c r="E97" s="297">
        <f>SUM(E75:E96)</f>
        <v>109437191.653</v>
      </c>
    </row>
  </sheetData>
  <sheetProtection/>
  <mergeCells count="8">
    <mergeCell ref="A70:E70"/>
    <mergeCell ref="A97:C97"/>
    <mergeCell ref="A65:C65"/>
    <mergeCell ref="A73:B73"/>
    <mergeCell ref="A2:E2"/>
    <mergeCell ref="A3:E3"/>
    <mergeCell ref="A5:B5"/>
    <mergeCell ref="A68:E68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94" r:id="rId1"/>
  <rowBreaks count="1" manualBreakCount="1">
    <brk id="65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N112"/>
  <sheetViews>
    <sheetView zoomScale="75" zoomScaleNormal="75" zoomScaleSheetLayoutView="50" zoomScalePageLayoutView="0" workbookViewId="0" topLeftCell="A83">
      <selection activeCell="I111" sqref="I111"/>
    </sheetView>
  </sheetViews>
  <sheetFormatPr defaultColWidth="11.421875" defaultRowHeight="12.75"/>
  <cols>
    <col min="1" max="1" width="6.7109375" style="44" customWidth="1"/>
    <col min="2" max="2" width="8.28125" style="44" customWidth="1"/>
    <col min="3" max="3" width="59.57421875" style="0" bestFit="1" customWidth="1"/>
    <col min="4" max="4" width="16.8515625" style="1" bestFit="1" customWidth="1"/>
    <col min="5" max="5" width="13.8515625" style="1" customWidth="1"/>
    <col min="6" max="6" width="14.28125" style="0" bestFit="1" customWidth="1"/>
    <col min="7" max="7" width="15.7109375" style="0" bestFit="1" customWidth="1"/>
    <col min="8" max="9" width="13.57421875" style="0" bestFit="1" customWidth="1"/>
    <col min="10" max="10" width="14.28125" style="0" bestFit="1" customWidth="1"/>
    <col min="11" max="11" width="15.00390625" style="0" bestFit="1" customWidth="1"/>
    <col min="12" max="12" width="14.28125" style="0" bestFit="1" customWidth="1"/>
  </cols>
  <sheetData>
    <row r="1" spans="1:5" ht="12.75">
      <c r="A1" s="54">
        <f>+'FINAL. FUNCION'!A1</f>
        <v>0</v>
      </c>
      <c r="B1" s="65"/>
      <c r="C1" s="48"/>
      <c r="D1" s="9"/>
      <c r="E1" s="9"/>
    </row>
    <row r="2" spans="1:12" ht="12.75">
      <c r="A2" s="788" t="s">
        <v>382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</row>
    <row r="3" spans="1:5" ht="12.75">
      <c r="A3" s="65"/>
      <c r="B3" s="65"/>
      <c r="C3" s="48"/>
      <c r="D3" s="9"/>
      <c r="E3" s="9"/>
    </row>
    <row r="4" spans="1:12" ht="12.75">
      <c r="A4" s="788" t="s">
        <v>1101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</row>
    <row r="5" spans="1:5" ht="13.5" thickBot="1">
      <c r="A5" s="65"/>
      <c r="B5" s="65"/>
      <c r="C5" s="48"/>
      <c r="D5" s="9"/>
      <c r="E5" s="9"/>
    </row>
    <row r="6" spans="1:12" ht="12.75">
      <c r="A6" s="796" t="s">
        <v>975</v>
      </c>
      <c r="B6" s="797"/>
      <c r="C6" s="315" t="s">
        <v>902</v>
      </c>
      <c r="D6" s="315" t="s">
        <v>976</v>
      </c>
      <c r="E6" s="315" t="s">
        <v>644</v>
      </c>
      <c r="F6" s="315" t="s">
        <v>1091</v>
      </c>
      <c r="G6" s="315" t="s">
        <v>646</v>
      </c>
      <c r="H6" s="315" t="s">
        <v>1093</v>
      </c>
      <c r="I6" s="315" t="s">
        <v>1095</v>
      </c>
      <c r="J6" s="315" t="s">
        <v>1091</v>
      </c>
      <c r="K6" s="315" t="s">
        <v>1098</v>
      </c>
      <c r="L6" s="315" t="s">
        <v>1100</v>
      </c>
    </row>
    <row r="7" spans="1:12" ht="13.5" thickBot="1">
      <c r="A7" s="316"/>
      <c r="B7" s="317"/>
      <c r="C7" s="316"/>
      <c r="D7" s="316" t="s">
        <v>1090</v>
      </c>
      <c r="E7" s="316"/>
      <c r="F7" s="316" t="s">
        <v>1092</v>
      </c>
      <c r="G7" s="316"/>
      <c r="H7" s="316" t="s">
        <v>1094</v>
      </c>
      <c r="I7" s="316" t="s">
        <v>1096</v>
      </c>
      <c r="J7" s="316" t="s">
        <v>1097</v>
      </c>
      <c r="K7" s="316" t="s">
        <v>1099</v>
      </c>
      <c r="L7" s="316" t="s">
        <v>1094</v>
      </c>
    </row>
    <row r="8" spans="1:12" ht="13.5" thickTop="1">
      <c r="A8" s="336" t="s">
        <v>898</v>
      </c>
      <c r="B8" s="337"/>
      <c r="C8" s="338" t="s">
        <v>899</v>
      </c>
      <c r="D8" s="339">
        <f aca="true" t="shared" si="0" ref="D8:L8">+D9+D17+D18+D21+D23+D24+D25</f>
        <v>27696140</v>
      </c>
      <c r="E8" s="339">
        <f t="shared" si="0"/>
        <v>18109720</v>
      </c>
      <c r="F8" s="339">
        <f t="shared" si="0"/>
        <v>843740</v>
      </c>
      <c r="G8" s="339">
        <f t="shared" si="0"/>
        <v>5861370</v>
      </c>
      <c r="H8" s="339">
        <f t="shared" si="0"/>
        <v>1834000</v>
      </c>
      <c r="I8" s="339">
        <f t="shared" si="0"/>
        <v>198770</v>
      </c>
      <c r="J8" s="339">
        <f t="shared" si="0"/>
        <v>848540</v>
      </c>
      <c r="K8" s="339">
        <f t="shared" si="0"/>
        <v>0</v>
      </c>
      <c r="L8" s="340">
        <f t="shared" si="0"/>
        <v>0</v>
      </c>
    </row>
    <row r="9" spans="1:12" ht="12.75">
      <c r="A9" s="323" t="s">
        <v>898</v>
      </c>
      <c r="B9" s="203" t="s">
        <v>681</v>
      </c>
      <c r="C9" s="198" t="s">
        <v>903</v>
      </c>
      <c r="D9" s="324">
        <f>+SUM(D10:D16)</f>
        <v>9584410</v>
      </c>
      <c r="E9" s="324">
        <f aca="true" t="shared" si="1" ref="E9:J9">+SUM(E10:E16)</f>
        <v>4696130</v>
      </c>
      <c r="F9" s="324">
        <f t="shared" si="1"/>
        <v>357540</v>
      </c>
      <c r="G9" s="324">
        <f t="shared" si="1"/>
        <v>2342750</v>
      </c>
      <c r="H9" s="324">
        <f t="shared" si="1"/>
        <v>1834000</v>
      </c>
      <c r="I9" s="324">
        <f t="shared" si="1"/>
        <v>0</v>
      </c>
      <c r="J9" s="324">
        <f t="shared" si="1"/>
        <v>353990</v>
      </c>
      <c r="K9" s="324">
        <f>+SUM(K10:K16)</f>
        <v>0</v>
      </c>
      <c r="L9" s="325">
        <f>+SUM(L10:L16)</f>
        <v>0</v>
      </c>
    </row>
    <row r="10" spans="1:14" ht="12.75">
      <c r="A10" s="323"/>
      <c r="B10" s="203"/>
      <c r="C10" s="200" t="s">
        <v>904</v>
      </c>
      <c r="D10" s="258">
        <f>+SUM(E10:L10)</f>
        <v>2285840</v>
      </c>
      <c r="E10" s="258">
        <f>+'hac juris'!G8</f>
        <v>406930</v>
      </c>
      <c r="F10" s="258">
        <f>+'hac juris'!$G11</f>
        <v>1500</v>
      </c>
      <c r="G10" s="258">
        <f>+'hac juris'!$G12</f>
        <v>43410</v>
      </c>
      <c r="H10" s="258">
        <f>+'hac juris'!$G13</f>
        <v>1834000</v>
      </c>
      <c r="I10" s="258">
        <v>0</v>
      </c>
      <c r="J10" s="258">
        <f>+'hac juris'!$G19</f>
        <v>0</v>
      </c>
      <c r="K10" s="258">
        <v>0</v>
      </c>
      <c r="L10" s="304">
        <v>0</v>
      </c>
      <c r="M10" s="1"/>
      <c r="N10" s="1"/>
    </row>
    <row r="11" spans="1:14" ht="12.75">
      <c r="A11" s="323"/>
      <c r="B11" s="203"/>
      <c r="C11" s="200" t="s">
        <v>905</v>
      </c>
      <c r="D11" s="258">
        <f>+SUM(E11:L11)</f>
        <v>980170</v>
      </c>
      <c r="E11" s="258">
        <f>+'hac juris'!$G37</f>
        <v>826180</v>
      </c>
      <c r="F11" s="258">
        <f>+'hac juris'!$G40</f>
        <v>3000</v>
      </c>
      <c r="G11" s="258">
        <f>+'hac juris'!$G41</f>
        <v>107600</v>
      </c>
      <c r="H11" s="258">
        <v>0</v>
      </c>
      <c r="I11" s="258">
        <v>0</v>
      </c>
      <c r="J11" s="258">
        <f>+'hac juris'!$G48</f>
        <v>43390</v>
      </c>
      <c r="K11" s="258">
        <v>0</v>
      </c>
      <c r="L11" s="304">
        <v>0</v>
      </c>
      <c r="M11" s="1"/>
      <c r="N11" s="1"/>
    </row>
    <row r="12" spans="1:14" ht="12.75">
      <c r="A12" s="323"/>
      <c r="B12" s="203"/>
      <c r="C12" s="200" t="s">
        <v>906</v>
      </c>
      <c r="D12" s="258">
        <f aca="true" t="shared" si="2" ref="D12:D22">+SUM(E12:L12)</f>
        <v>1044060</v>
      </c>
      <c r="E12" s="258">
        <f>+'hac juris'!$G65</f>
        <v>984510</v>
      </c>
      <c r="F12" s="258">
        <f>+'hac juris'!$G68</f>
        <v>7300</v>
      </c>
      <c r="G12" s="258">
        <f>+'hac juris'!$G69</f>
        <v>42290</v>
      </c>
      <c r="H12" s="258"/>
      <c r="I12" s="258"/>
      <c r="J12" s="258">
        <f>+'hac juris'!$G76</f>
        <v>9960</v>
      </c>
      <c r="K12" s="258"/>
      <c r="L12" s="304"/>
      <c r="M12" s="1"/>
      <c r="N12" s="1"/>
    </row>
    <row r="13" spans="1:14" ht="12.75">
      <c r="A13" s="323"/>
      <c r="B13" s="203"/>
      <c r="C13" s="200" t="s">
        <v>907</v>
      </c>
      <c r="D13" s="258">
        <f t="shared" si="2"/>
        <v>849970</v>
      </c>
      <c r="E13" s="258">
        <f>+'hac juris'!$G93</f>
        <v>704940</v>
      </c>
      <c r="F13" s="258">
        <f>+'hac juris'!$G96</f>
        <v>17800</v>
      </c>
      <c r="G13" s="258">
        <f>+'hac juris'!$G97</f>
        <v>126030</v>
      </c>
      <c r="H13" s="258">
        <v>0</v>
      </c>
      <c r="I13" s="258">
        <v>0</v>
      </c>
      <c r="J13" s="258">
        <f>+'hac juris'!$G104</f>
        <v>1200</v>
      </c>
      <c r="K13" s="258">
        <v>0</v>
      </c>
      <c r="L13" s="304">
        <v>0</v>
      </c>
      <c r="M13" s="1"/>
      <c r="N13" s="1"/>
    </row>
    <row r="14" spans="1:14" ht="12.75">
      <c r="A14" s="323"/>
      <c r="B14" s="203"/>
      <c r="C14" s="200" t="s">
        <v>908</v>
      </c>
      <c r="D14" s="258">
        <f t="shared" si="2"/>
        <v>1423640</v>
      </c>
      <c r="E14" s="258">
        <f>+'hac juris'!$G121</f>
        <v>821880</v>
      </c>
      <c r="F14" s="258">
        <f>+'hac juris'!$G124</f>
        <v>1800</v>
      </c>
      <c r="G14" s="258">
        <f>+'hac juris'!$G125</f>
        <v>596960</v>
      </c>
      <c r="H14" s="258">
        <v>0</v>
      </c>
      <c r="I14" s="258">
        <v>0</v>
      </c>
      <c r="J14" s="258">
        <f>+'hac juris'!$G132</f>
        <v>3000</v>
      </c>
      <c r="K14" s="258">
        <v>0</v>
      </c>
      <c r="L14" s="304">
        <v>0</v>
      </c>
      <c r="M14" s="1"/>
      <c r="N14" s="1"/>
    </row>
    <row r="15" spans="1:14" ht="12.75">
      <c r="A15" s="303"/>
      <c r="B15" s="197"/>
      <c r="C15" s="200" t="s">
        <v>930</v>
      </c>
      <c r="D15" s="258">
        <f t="shared" si="2"/>
        <v>2088860</v>
      </c>
      <c r="E15" s="258">
        <f>+'hac juris'!$G149</f>
        <v>471660</v>
      </c>
      <c r="F15" s="258">
        <f>+'hac juris'!$G152</f>
        <v>209000</v>
      </c>
      <c r="G15" s="258">
        <f>+'hac juris'!$G153</f>
        <v>1157360</v>
      </c>
      <c r="H15" s="258">
        <v>0</v>
      </c>
      <c r="I15" s="258">
        <v>0</v>
      </c>
      <c r="J15" s="258">
        <f>+'hac juris'!$G160</f>
        <v>250840</v>
      </c>
      <c r="K15" s="258">
        <v>0</v>
      </c>
      <c r="L15" s="304">
        <v>0</v>
      </c>
      <c r="M15" s="1"/>
      <c r="N15" s="1"/>
    </row>
    <row r="16" spans="1:14" ht="12.75">
      <c r="A16" s="303"/>
      <c r="B16" s="197"/>
      <c r="C16" s="200" t="s">
        <v>417</v>
      </c>
      <c r="D16" s="258">
        <f t="shared" si="2"/>
        <v>911870</v>
      </c>
      <c r="E16" s="258">
        <f>+hac!I11</f>
        <v>480030</v>
      </c>
      <c r="F16" s="258">
        <f>+hac!I12</f>
        <v>117140</v>
      </c>
      <c r="G16" s="258">
        <f>+hac!I13</f>
        <v>269100</v>
      </c>
      <c r="H16" s="258">
        <v>0</v>
      </c>
      <c r="I16" s="258">
        <v>0</v>
      </c>
      <c r="J16" s="258">
        <f>+hac!I18</f>
        <v>45600</v>
      </c>
      <c r="K16" s="258">
        <v>0</v>
      </c>
      <c r="L16" s="304">
        <v>0</v>
      </c>
      <c r="M16" s="1"/>
      <c r="N16" s="1"/>
    </row>
    <row r="17" spans="1:14" s="33" customFormat="1" ht="12.75">
      <c r="A17" s="323" t="s">
        <v>898</v>
      </c>
      <c r="B17" s="203" t="s">
        <v>909</v>
      </c>
      <c r="C17" s="198" t="s">
        <v>910</v>
      </c>
      <c r="D17" s="324">
        <v>0</v>
      </c>
      <c r="E17" s="324">
        <v>0</v>
      </c>
      <c r="F17" s="324">
        <v>0</v>
      </c>
      <c r="G17" s="324">
        <v>0</v>
      </c>
      <c r="H17" s="324">
        <v>0</v>
      </c>
      <c r="I17" s="324">
        <v>0</v>
      </c>
      <c r="J17" s="324">
        <v>0</v>
      </c>
      <c r="K17" s="324">
        <v>0</v>
      </c>
      <c r="L17" s="325">
        <v>0</v>
      </c>
      <c r="M17" s="1"/>
      <c r="N17" s="1"/>
    </row>
    <row r="18" spans="1:14" s="33" customFormat="1" ht="12.75">
      <c r="A18" s="323" t="s">
        <v>898</v>
      </c>
      <c r="B18" s="203" t="s">
        <v>911</v>
      </c>
      <c r="C18" s="198" t="s">
        <v>912</v>
      </c>
      <c r="D18" s="324">
        <f>+D19+D20</f>
        <v>3226850</v>
      </c>
      <c r="E18" s="324">
        <f aca="true" t="shared" si="3" ref="E18:L18">+E19+E20</f>
        <v>3050080</v>
      </c>
      <c r="F18" s="324">
        <f t="shared" si="3"/>
        <v>41580</v>
      </c>
      <c r="G18" s="324">
        <f t="shared" si="3"/>
        <v>91260</v>
      </c>
      <c r="H18" s="324">
        <f t="shared" si="3"/>
        <v>0</v>
      </c>
      <c r="I18" s="324">
        <f t="shared" si="3"/>
        <v>10000</v>
      </c>
      <c r="J18" s="324">
        <f t="shared" si="3"/>
        <v>33930</v>
      </c>
      <c r="K18" s="324">
        <f t="shared" si="3"/>
        <v>0</v>
      </c>
      <c r="L18" s="325">
        <f t="shared" si="3"/>
        <v>0</v>
      </c>
      <c r="M18" s="1"/>
      <c r="N18" s="1"/>
    </row>
    <row r="19" spans="1:14" ht="12.75">
      <c r="A19" s="303"/>
      <c r="B19" s="197"/>
      <c r="C19" s="200" t="s">
        <v>913</v>
      </c>
      <c r="D19" s="258">
        <f t="shared" si="2"/>
        <v>3226850</v>
      </c>
      <c r="E19" s="258">
        <f>+hcd!$G8</f>
        <v>3050080</v>
      </c>
      <c r="F19" s="258">
        <f>+hcd!$G11</f>
        <v>41580</v>
      </c>
      <c r="G19" s="258">
        <f>+hcd!$G12</f>
        <v>91260</v>
      </c>
      <c r="H19" s="258">
        <v>0</v>
      </c>
      <c r="I19" s="258">
        <f>+hcd!$G15</f>
        <v>10000</v>
      </c>
      <c r="J19" s="258">
        <f>+hcd!$G19</f>
        <v>33930</v>
      </c>
      <c r="K19" s="258">
        <v>0</v>
      </c>
      <c r="L19" s="304">
        <v>0</v>
      </c>
      <c r="M19" s="1"/>
      <c r="N19" s="1"/>
    </row>
    <row r="20" spans="1:14" ht="12.75">
      <c r="A20" s="303"/>
      <c r="B20" s="197"/>
      <c r="C20" s="200" t="s">
        <v>914</v>
      </c>
      <c r="D20" s="258">
        <f t="shared" si="2"/>
        <v>0</v>
      </c>
      <c r="E20" s="258">
        <v>0</v>
      </c>
      <c r="F20" s="258">
        <v>0</v>
      </c>
      <c r="G20" s="258">
        <v>0</v>
      </c>
      <c r="H20" s="258">
        <v>0</v>
      </c>
      <c r="I20" s="258">
        <v>0</v>
      </c>
      <c r="J20" s="258">
        <v>0</v>
      </c>
      <c r="K20" s="258">
        <v>0</v>
      </c>
      <c r="L20" s="304">
        <v>0</v>
      </c>
      <c r="M20" s="1"/>
      <c r="N20" s="1"/>
    </row>
    <row r="21" spans="1:14" s="33" customFormat="1" ht="12.75">
      <c r="A21" s="323" t="s">
        <v>898</v>
      </c>
      <c r="B21" s="203" t="s">
        <v>915</v>
      </c>
      <c r="C21" s="198" t="s">
        <v>916</v>
      </c>
      <c r="D21" s="324">
        <f>+D22</f>
        <v>1215480</v>
      </c>
      <c r="E21" s="324">
        <f aca="true" t="shared" si="4" ref="E21:L21">+E22</f>
        <v>1056750</v>
      </c>
      <c r="F21" s="324">
        <f t="shared" si="4"/>
        <v>56440</v>
      </c>
      <c r="G21" s="324">
        <f t="shared" si="4"/>
        <v>46440</v>
      </c>
      <c r="H21" s="324">
        <f t="shared" si="4"/>
        <v>0</v>
      </c>
      <c r="I21" s="324">
        <f t="shared" si="4"/>
        <v>0</v>
      </c>
      <c r="J21" s="324">
        <f t="shared" si="4"/>
        <v>55850</v>
      </c>
      <c r="K21" s="324">
        <f t="shared" si="4"/>
        <v>0</v>
      </c>
      <c r="L21" s="325">
        <f t="shared" si="4"/>
        <v>0</v>
      </c>
      <c r="M21" s="1"/>
      <c r="N21" s="1"/>
    </row>
    <row r="22" spans="1:14" s="48" customFormat="1" ht="12.75">
      <c r="A22" s="303"/>
      <c r="B22" s="197"/>
      <c r="C22" s="200" t="s">
        <v>917</v>
      </c>
      <c r="D22" s="258">
        <f t="shared" si="2"/>
        <v>1215480</v>
      </c>
      <c r="E22" s="258">
        <f>+juzg!$G8</f>
        <v>1056750</v>
      </c>
      <c r="F22" s="258">
        <f>+juzg!$G11</f>
        <v>56440</v>
      </c>
      <c r="G22" s="258">
        <f>+juzg!$G12</f>
        <v>46440</v>
      </c>
      <c r="H22" s="258">
        <v>0</v>
      </c>
      <c r="I22" s="258">
        <v>0</v>
      </c>
      <c r="J22" s="258">
        <f>+juzg!$G19</f>
        <v>55850</v>
      </c>
      <c r="K22" s="258">
        <v>0</v>
      </c>
      <c r="L22" s="304">
        <v>0</v>
      </c>
      <c r="M22" s="1"/>
      <c r="N22" s="1"/>
    </row>
    <row r="23" spans="1:14" s="33" customFormat="1" ht="12.75">
      <c r="A23" s="323" t="s">
        <v>898</v>
      </c>
      <c r="B23" s="203" t="s">
        <v>918</v>
      </c>
      <c r="C23" s="198" t="s">
        <v>919</v>
      </c>
      <c r="D23" s="324">
        <v>0</v>
      </c>
      <c r="E23" s="324">
        <v>0</v>
      </c>
      <c r="F23" s="324">
        <v>0</v>
      </c>
      <c r="G23" s="324">
        <v>0</v>
      </c>
      <c r="H23" s="324">
        <v>0</v>
      </c>
      <c r="I23" s="324">
        <v>0</v>
      </c>
      <c r="J23" s="324">
        <v>0</v>
      </c>
      <c r="K23" s="324">
        <v>0</v>
      </c>
      <c r="L23" s="325">
        <v>0</v>
      </c>
      <c r="M23" s="1"/>
      <c r="N23" s="1"/>
    </row>
    <row r="24" spans="1:14" ht="12.75">
      <c r="A24" s="323" t="s">
        <v>898</v>
      </c>
      <c r="B24" s="203" t="s">
        <v>920</v>
      </c>
      <c r="C24" s="198" t="s">
        <v>921</v>
      </c>
      <c r="D24" s="324">
        <v>0</v>
      </c>
      <c r="E24" s="324">
        <v>0</v>
      </c>
      <c r="F24" s="324">
        <v>0</v>
      </c>
      <c r="G24" s="324">
        <v>0</v>
      </c>
      <c r="H24" s="324">
        <v>0</v>
      </c>
      <c r="I24" s="324">
        <v>0</v>
      </c>
      <c r="J24" s="324">
        <v>0</v>
      </c>
      <c r="K24" s="324">
        <v>0</v>
      </c>
      <c r="L24" s="325">
        <v>0</v>
      </c>
      <c r="M24" s="1"/>
      <c r="N24" s="1"/>
    </row>
    <row r="25" spans="1:14" s="33" customFormat="1" ht="12.75">
      <c r="A25" s="323" t="s">
        <v>898</v>
      </c>
      <c r="B25" s="203" t="s">
        <v>922</v>
      </c>
      <c r="C25" s="198" t="s">
        <v>923</v>
      </c>
      <c r="D25" s="324">
        <f aca="true" t="shared" si="5" ref="D25:L25">+SUM(D26:D31)</f>
        <v>13669400</v>
      </c>
      <c r="E25" s="324">
        <f t="shared" si="5"/>
        <v>9306760</v>
      </c>
      <c r="F25" s="324">
        <f t="shared" si="5"/>
        <v>388180</v>
      </c>
      <c r="G25" s="324">
        <f t="shared" si="5"/>
        <v>3380920</v>
      </c>
      <c r="H25" s="324">
        <f t="shared" si="5"/>
        <v>0</v>
      </c>
      <c r="I25" s="324">
        <f t="shared" si="5"/>
        <v>188770</v>
      </c>
      <c r="J25" s="324">
        <f t="shared" si="5"/>
        <v>404770</v>
      </c>
      <c r="K25" s="324">
        <f t="shared" si="5"/>
        <v>0</v>
      </c>
      <c r="L25" s="325">
        <f t="shared" si="5"/>
        <v>0</v>
      </c>
      <c r="M25" s="1"/>
      <c r="N25" s="1"/>
    </row>
    <row r="26" spans="1:14" s="48" customFormat="1" ht="12.75">
      <c r="A26" s="303"/>
      <c r="B26" s="197"/>
      <c r="C26" s="200" t="s">
        <v>924</v>
      </c>
      <c r="D26" s="258">
        <f aca="true" t="shared" si="6" ref="D26:D31">+SUM(E26:L26)</f>
        <v>397590</v>
      </c>
      <c r="E26" s="258">
        <f>+'Int juris'!$G8</f>
        <v>166420</v>
      </c>
      <c r="F26" s="258">
        <f>+'Int juris'!$G11</f>
        <v>1090</v>
      </c>
      <c r="G26" s="258">
        <f>+'Int juris'!$G12</f>
        <v>41310</v>
      </c>
      <c r="H26" s="258">
        <v>0</v>
      </c>
      <c r="I26" s="258">
        <f>+'Int juris'!$G15</f>
        <v>188770</v>
      </c>
      <c r="J26" s="258">
        <f>+'Int juris'!$G19+'Int juris'!G23</f>
        <v>0</v>
      </c>
      <c r="K26" s="258">
        <v>0</v>
      </c>
      <c r="L26" s="304">
        <v>0</v>
      </c>
      <c r="M26" s="1"/>
      <c r="N26" s="1"/>
    </row>
    <row r="27" spans="1:14" s="48" customFormat="1" ht="12.75">
      <c r="A27" s="303"/>
      <c r="B27" s="197"/>
      <c r="C27" s="200" t="s">
        <v>925</v>
      </c>
      <c r="D27" s="258">
        <f t="shared" si="6"/>
        <v>520940</v>
      </c>
      <c r="E27" s="258">
        <f>+'Int juris'!$G36</f>
        <v>418570</v>
      </c>
      <c r="F27" s="258">
        <f>+'Int juris'!$G39</f>
        <v>6940</v>
      </c>
      <c r="G27" s="258">
        <f>+'Int juris'!$G40</f>
        <v>95430</v>
      </c>
      <c r="H27" s="258">
        <v>0</v>
      </c>
      <c r="I27" s="258">
        <v>0</v>
      </c>
      <c r="J27" s="258">
        <f>+'Int juris'!$G47</f>
        <v>0</v>
      </c>
      <c r="K27" s="258">
        <v>0</v>
      </c>
      <c r="L27" s="304">
        <v>0</v>
      </c>
      <c r="M27" s="1"/>
      <c r="N27" s="1"/>
    </row>
    <row r="28" spans="1:14" s="48" customFormat="1" ht="12.75">
      <c r="A28" s="303"/>
      <c r="B28" s="197"/>
      <c r="C28" s="200" t="s">
        <v>926</v>
      </c>
      <c r="D28" s="258">
        <f t="shared" si="6"/>
        <v>709320</v>
      </c>
      <c r="E28" s="258">
        <f>+'Int juris'!$G64</f>
        <v>518310</v>
      </c>
      <c r="F28" s="258">
        <f>+'Int juris'!$G67</f>
        <v>6370</v>
      </c>
      <c r="G28" s="258">
        <f>+'Int juris'!$G68</f>
        <v>179540</v>
      </c>
      <c r="H28" s="258">
        <v>0</v>
      </c>
      <c r="I28" s="258">
        <v>0</v>
      </c>
      <c r="J28" s="258">
        <f>+'Int juris'!$G75</f>
        <v>5100</v>
      </c>
      <c r="K28" s="258">
        <v>0</v>
      </c>
      <c r="L28" s="304">
        <v>0</v>
      </c>
      <c r="M28" s="1"/>
      <c r="N28" s="1"/>
    </row>
    <row r="29" spans="1:14" s="48" customFormat="1" ht="12.75">
      <c r="A29" s="303"/>
      <c r="B29" s="197"/>
      <c r="C29" s="200" t="s">
        <v>927</v>
      </c>
      <c r="D29" s="258">
        <f t="shared" si="6"/>
        <v>1340330</v>
      </c>
      <c r="E29" s="258">
        <f>+'Int juris'!$G92</f>
        <v>298610</v>
      </c>
      <c r="F29" s="258">
        <f>+'Int juris'!$G95</f>
        <v>21130</v>
      </c>
      <c r="G29" s="258">
        <f>+'Int juris'!$G96</f>
        <v>1019090</v>
      </c>
      <c r="H29" s="258">
        <v>0</v>
      </c>
      <c r="I29" s="258">
        <v>0</v>
      </c>
      <c r="J29" s="258">
        <f>+'Int juris'!$G103</f>
        <v>1500</v>
      </c>
      <c r="K29" s="258">
        <v>0</v>
      </c>
      <c r="L29" s="304">
        <v>0</v>
      </c>
      <c r="M29" s="1"/>
      <c r="N29" s="1"/>
    </row>
    <row r="30" spans="1:14" s="48" customFormat="1" ht="12.75">
      <c r="A30" s="303"/>
      <c r="B30" s="197"/>
      <c r="C30" s="200" t="s">
        <v>928</v>
      </c>
      <c r="D30" s="258">
        <f t="shared" si="6"/>
        <v>1577940</v>
      </c>
      <c r="E30" s="258">
        <f>+'Gob juris'!$G8</f>
        <v>920240</v>
      </c>
      <c r="F30" s="258">
        <f>+'Gob juris'!$G11</f>
        <v>75670</v>
      </c>
      <c r="G30" s="258">
        <f>+'Gob juris'!$G12</f>
        <v>478620</v>
      </c>
      <c r="H30" s="258">
        <v>0</v>
      </c>
      <c r="I30" s="258">
        <f>+gob!C14</f>
        <v>0</v>
      </c>
      <c r="J30" s="258">
        <f>+'Gob juris'!$G19</f>
        <v>103410</v>
      </c>
      <c r="K30" s="258">
        <v>0</v>
      </c>
      <c r="L30" s="304">
        <v>0</v>
      </c>
      <c r="M30" s="1"/>
      <c r="N30" s="1"/>
    </row>
    <row r="31" spans="1:14" s="48" customFormat="1" ht="12.75">
      <c r="A31" s="303"/>
      <c r="B31" s="197"/>
      <c r="C31" s="200" t="s">
        <v>929</v>
      </c>
      <c r="D31" s="258">
        <f t="shared" si="6"/>
        <v>9123280</v>
      </c>
      <c r="E31" s="258">
        <f>+'Gob juris'!$G150</f>
        <v>6984610</v>
      </c>
      <c r="F31" s="258">
        <f>+'Gob juris'!$G153</f>
        <v>276980</v>
      </c>
      <c r="G31" s="258">
        <f>+'Gob juris'!$G154</f>
        <v>1566930</v>
      </c>
      <c r="H31" s="258">
        <v>0</v>
      </c>
      <c r="I31" s="258">
        <v>0</v>
      </c>
      <c r="J31" s="258">
        <f>+'Gob juris'!$G161</f>
        <v>294760</v>
      </c>
      <c r="K31" s="258">
        <v>0</v>
      </c>
      <c r="L31" s="304">
        <v>0</v>
      </c>
      <c r="M31" s="1"/>
      <c r="N31" s="1"/>
    </row>
    <row r="32" spans="1:14" s="33" customFormat="1" ht="12.75">
      <c r="A32" s="341" t="s">
        <v>900</v>
      </c>
      <c r="B32" s="342"/>
      <c r="C32" s="194" t="s">
        <v>901</v>
      </c>
      <c r="D32" s="343">
        <f>+D33+D34</f>
        <v>1589600</v>
      </c>
      <c r="E32" s="343">
        <f aca="true" t="shared" si="7" ref="E32:L32">+E33+E34</f>
        <v>1090730</v>
      </c>
      <c r="F32" s="343">
        <f t="shared" si="7"/>
        <v>171270</v>
      </c>
      <c r="G32" s="343">
        <f t="shared" si="7"/>
        <v>286200</v>
      </c>
      <c r="H32" s="343">
        <f t="shared" si="7"/>
        <v>0</v>
      </c>
      <c r="I32" s="343">
        <f t="shared" si="7"/>
        <v>0</v>
      </c>
      <c r="J32" s="343">
        <f t="shared" si="7"/>
        <v>41400</v>
      </c>
      <c r="K32" s="343">
        <f t="shared" si="7"/>
        <v>0</v>
      </c>
      <c r="L32" s="344">
        <f t="shared" si="7"/>
        <v>0</v>
      </c>
      <c r="M32" s="1"/>
      <c r="N32" s="1"/>
    </row>
    <row r="33" spans="1:14" s="33" customFormat="1" ht="12.75">
      <c r="A33" s="323" t="s">
        <v>900</v>
      </c>
      <c r="B33" s="203" t="s">
        <v>666</v>
      </c>
      <c r="C33" s="198" t="s">
        <v>931</v>
      </c>
      <c r="D33" s="324">
        <v>0</v>
      </c>
      <c r="E33" s="324">
        <v>0</v>
      </c>
      <c r="F33" s="324">
        <v>0</v>
      </c>
      <c r="G33" s="324">
        <v>0</v>
      </c>
      <c r="H33" s="324">
        <v>0</v>
      </c>
      <c r="I33" s="324">
        <v>0</v>
      </c>
      <c r="J33" s="324">
        <v>0</v>
      </c>
      <c r="K33" s="324">
        <v>0</v>
      </c>
      <c r="L33" s="325">
        <v>0</v>
      </c>
      <c r="M33" s="1"/>
      <c r="N33" s="1"/>
    </row>
    <row r="34" spans="1:14" s="33" customFormat="1" ht="12.75">
      <c r="A34" s="323" t="s">
        <v>900</v>
      </c>
      <c r="B34" s="203" t="s">
        <v>922</v>
      </c>
      <c r="C34" s="198" t="s">
        <v>932</v>
      </c>
      <c r="D34" s="324">
        <f>+D35</f>
        <v>1589600</v>
      </c>
      <c r="E34" s="324">
        <f aca="true" t="shared" si="8" ref="E34:L34">+E35</f>
        <v>1090730</v>
      </c>
      <c r="F34" s="324">
        <f t="shared" si="8"/>
        <v>171270</v>
      </c>
      <c r="G34" s="324">
        <f t="shared" si="8"/>
        <v>286200</v>
      </c>
      <c r="H34" s="324">
        <f t="shared" si="8"/>
        <v>0</v>
      </c>
      <c r="I34" s="324">
        <f t="shared" si="8"/>
        <v>0</v>
      </c>
      <c r="J34" s="324">
        <f t="shared" si="8"/>
        <v>41400</v>
      </c>
      <c r="K34" s="324">
        <f t="shared" si="8"/>
        <v>0</v>
      </c>
      <c r="L34" s="325">
        <f t="shared" si="8"/>
        <v>0</v>
      </c>
      <c r="M34" s="1"/>
      <c r="N34" s="1"/>
    </row>
    <row r="35" spans="1:14" s="33" customFormat="1" ht="13.5" thickBot="1">
      <c r="A35" s="326"/>
      <c r="B35" s="327"/>
      <c r="C35" s="306" t="s">
        <v>962</v>
      </c>
      <c r="D35" s="328">
        <f>+SUM(E35:L35)</f>
        <v>1589600</v>
      </c>
      <c r="E35" s="328">
        <f>+'SER.ESPEC.'!$G8</f>
        <v>1090730</v>
      </c>
      <c r="F35" s="328">
        <f>+'SER.ESPEC.'!$G11</f>
        <v>171270</v>
      </c>
      <c r="G35" s="328">
        <f>+'SER.ESPEC.'!$G12</f>
        <v>286200</v>
      </c>
      <c r="H35" s="328">
        <v>0</v>
      </c>
      <c r="I35" s="328">
        <v>0</v>
      </c>
      <c r="J35" s="328">
        <f>+'SER.ESPEC.'!$G19</f>
        <v>41400</v>
      </c>
      <c r="K35" s="328">
        <v>0</v>
      </c>
      <c r="L35" s="307">
        <v>0</v>
      </c>
      <c r="M35" s="1"/>
      <c r="N35" s="1"/>
    </row>
    <row r="36" spans="1:12" ht="14.25" thickBot="1" thickTop="1">
      <c r="A36" s="794" t="s">
        <v>633</v>
      </c>
      <c r="B36" s="795"/>
      <c r="C36" s="801"/>
      <c r="D36" s="173">
        <f aca="true" t="shared" si="9" ref="D36:L36">+D8+D32</f>
        <v>29285740</v>
      </c>
      <c r="E36" s="173">
        <f t="shared" si="9"/>
        <v>19200450</v>
      </c>
      <c r="F36" s="173">
        <f t="shared" si="9"/>
        <v>1015010</v>
      </c>
      <c r="G36" s="173">
        <f t="shared" si="9"/>
        <v>6147570</v>
      </c>
      <c r="H36" s="173">
        <f t="shared" si="9"/>
        <v>1834000</v>
      </c>
      <c r="I36" s="173">
        <f t="shared" si="9"/>
        <v>198770</v>
      </c>
      <c r="J36" s="173">
        <f t="shared" si="9"/>
        <v>889940</v>
      </c>
      <c r="K36" s="173">
        <f t="shared" si="9"/>
        <v>0</v>
      </c>
      <c r="L36" s="173">
        <f t="shared" si="9"/>
        <v>0</v>
      </c>
    </row>
    <row r="37" spans="1:5" ht="12.75">
      <c r="A37" s="65"/>
      <c r="B37" s="65"/>
      <c r="C37" s="48"/>
      <c r="D37" s="9"/>
      <c r="E37" s="9"/>
    </row>
    <row r="38" spans="1:5" ht="12.75">
      <c r="A38" s="102">
        <f>+A1</f>
        <v>0</v>
      </c>
      <c r="B38" s="65"/>
      <c r="C38" s="48"/>
      <c r="D38" s="9"/>
      <c r="E38" s="9"/>
    </row>
    <row r="39" spans="1:12" ht="12.75">
      <c r="A39" s="788" t="s">
        <v>382</v>
      </c>
      <c r="B39" s="788"/>
      <c r="C39" s="788"/>
      <c r="D39" s="788"/>
      <c r="E39" s="788"/>
      <c r="F39" s="788"/>
      <c r="G39" s="788"/>
      <c r="H39" s="788"/>
      <c r="I39" s="788"/>
      <c r="J39" s="788"/>
      <c r="K39" s="788"/>
      <c r="L39" s="788"/>
    </row>
    <row r="40" spans="1:5" ht="12.75">
      <c r="A40" s="65"/>
      <c r="B40" s="65"/>
      <c r="C40" s="48"/>
      <c r="D40" s="9"/>
      <c r="E40" s="9"/>
    </row>
    <row r="41" spans="1:12" ht="12.75">
      <c r="A41" s="788" t="s">
        <v>1101</v>
      </c>
      <c r="B41" s="788"/>
      <c r="C41" s="788"/>
      <c r="D41" s="788"/>
      <c r="E41" s="788"/>
      <c r="F41" s="788"/>
      <c r="G41" s="788"/>
      <c r="H41" s="788"/>
      <c r="I41" s="788"/>
      <c r="J41" s="788"/>
      <c r="K41" s="788"/>
      <c r="L41" s="788"/>
    </row>
    <row r="42" spans="1:5" ht="13.5" thickBot="1">
      <c r="A42" s="65"/>
      <c r="B42" s="65"/>
      <c r="C42" s="48"/>
      <c r="D42" s="9"/>
      <c r="E42" s="9"/>
    </row>
    <row r="43" spans="1:12" ht="12.75">
      <c r="A43" s="796" t="s">
        <v>975</v>
      </c>
      <c r="B43" s="797"/>
      <c r="C43" s="315" t="s">
        <v>902</v>
      </c>
      <c r="D43" s="315" t="s">
        <v>976</v>
      </c>
      <c r="E43" s="315" t="s">
        <v>644</v>
      </c>
      <c r="F43" s="315" t="s">
        <v>1091</v>
      </c>
      <c r="G43" s="315" t="s">
        <v>646</v>
      </c>
      <c r="H43" s="315" t="s">
        <v>1093</v>
      </c>
      <c r="I43" s="315" t="s">
        <v>1095</v>
      </c>
      <c r="J43" s="315" t="s">
        <v>1091</v>
      </c>
      <c r="K43" s="315" t="s">
        <v>1098</v>
      </c>
      <c r="L43" s="315" t="s">
        <v>1100</v>
      </c>
    </row>
    <row r="44" spans="1:12" ht="13.5" thickBot="1">
      <c r="A44" s="316"/>
      <c r="B44" s="317"/>
      <c r="C44" s="316"/>
      <c r="D44" s="316" t="s">
        <v>1090</v>
      </c>
      <c r="E44" s="316"/>
      <c r="F44" s="316" t="s">
        <v>1092</v>
      </c>
      <c r="G44" s="316"/>
      <c r="H44" s="316" t="s">
        <v>1094</v>
      </c>
      <c r="I44" s="316" t="s">
        <v>1096</v>
      </c>
      <c r="J44" s="316" t="s">
        <v>1097</v>
      </c>
      <c r="K44" s="316" t="s">
        <v>1099</v>
      </c>
      <c r="L44" s="316" t="s">
        <v>1094</v>
      </c>
    </row>
    <row r="45" spans="1:14" s="11" customFormat="1" ht="13.5" thickTop="1">
      <c r="A45" s="330"/>
      <c r="B45" s="331"/>
      <c r="C45" s="332" t="s">
        <v>633</v>
      </c>
      <c r="D45" s="333">
        <f>+D36</f>
        <v>29285740</v>
      </c>
      <c r="E45" s="333">
        <f aca="true" t="shared" si="10" ref="E45:L45">+E36</f>
        <v>19200450</v>
      </c>
      <c r="F45" s="333">
        <f t="shared" si="10"/>
        <v>1015010</v>
      </c>
      <c r="G45" s="333">
        <f t="shared" si="10"/>
        <v>6147570</v>
      </c>
      <c r="H45" s="333">
        <f t="shared" si="10"/>
        <v>1834000</v>
      </c>
      <c r="I45" s="333">
        <f t="shared" si="10"/>
        <v>198770</v>
      </c>
      <c r="J45" s="333">
        <f t="shared" si="10"/>
        <v>889940</v>
      </c>
      <c r="K45" s="333">
        <f t="shared" si="10"/>
        <v>0</v>
      </c>
      <c r="L45" s="334">
        <f t="shared" si="10"/>
        <v>0</v>
      </c>
      <c r="M45" s="1"/>
      <c r="N45" s="1"/>
    </row>
    <row r="46" spans="1:14" s="33" customFormat="1" ht="12.75">
      <c r="A46" s="341" t="s">
        <v>933</v>
      </c>
      <c r="B46" s="342"/>
      <c r="C46" s="194" t="s">
        <v>934</v>
      </c>
      <c r="D46" s="343">
        <f aca="true" t="shared" si="11" ref="D46:L46">+D47+D49+D53</f>
        <v>26550214.653</v>
      </c>
      <c r="E46" s="343">
        <f t="shared" si="11"/>
        <v>16032464.653</v>
      </c>
      <c r="F46" s="343">
        <f t="shared" si="11"/>
        <v>348070</v>
      </c>
      <c r="G46" s="343">
        <f t="shared" si="11"/>
        <v>9201270</v>
      </c>
      <c r="H46" s="343">
        <f t="shared" si="11"/>
        <v>0</v>
      </c>
      <c r="I46" s="343">
        <f t="shared" si="11"/>
        <v>26600</v>
      </c>
      <c r="J46" s="343">
        <f t="shared" si="11"/>
        <v>941810</v>
      </c>
      <c r="K46" s="343">
        <f t="shared" si="11"/>
        <v>0</v>
      </c>
      <c r="L46" s="344">
        <f t="shared" si="11"/>
        <v>0</v>
      </c>
      <c r="M46" s="1"/>
      <c r="N46" s="1"/>
    </row>
    <row r="47" spans="1:14" s="33" customFormat="1" ht="12.75">
      <c r="A47" s="323" t="s">
        <v>933</v>
      </c>
      <c r="B47" s="203" t="s">
        <v>666</v>
      </c>
      <c r="C47" s="198" t="s">
        <v>935</v>
      </c>
      <c r="D47" s="324">
        <f aca="true" t="shared" si="12" ref="D47:L47">+SUM(D48:D48)</f>
        <v>2394584.653</v>
      </c>
      <c r="E47" s="324">
        <f t="shared" si="12"/>
        <v>2001614.653</v>
      </c>
      <c r="F47" s="324">
        <f t="shared" si="12"/>
        <v>60650</v>
      </c>
      <c r="G47" s="324">
        <f t="shared" si="12"/>
        <v>283370</v>
      </c>
      <c r="H47" s="324">
        <f t="shared" si="12"/>
        <v>0</v>
      </c>
      <c r="I47" s="324">
        <f t="shared" si="12"/>
        <v>26600</v>
      </c>
      <c r="J47" s="324">
        <f t="shared" si="12"/>
        <v>22350</v>
      </c>
      <c r="K47" s="324">
        <f t="shared" si="12"/>
        <v>0</v>
      </c>
      <c r="L47" s="325">
        <f t="shared" si="12"/>
        <v>0</v>
      </c>
      <c r="M47" s="1"/>
      <c r="N47" s="1"/>
    </row>
    <row r="48" spans="1:14" ht="12.75">
      <c r="A48" s="303"/>
      <c r="B48" s="197"/>
      <c r="C48" s="200" t="s">
        <v>81</v>
      </c>
      <c r="D48" s="258">
        <f>+SUM(E48:L48)</f>
        <v>2394584.653</v>
      </c>
      <c r="E48" s="258">
        <f>+'Gob juris'!G207</f>
        <v>2001614.653</v>
      </c>
      <c r="F48" s="258">
        <f>+'Gob juris'!G210</f>
        <v>60650</v>
      </c>
      <c r="G48" s="258">
        <f>+'Gob juris'!G211</f>
        <v>283370</v>
      </c>
      <c r="H48" s="258">
        <f>+'Gob juris'!G212</f>
        <v>0</v>
      </c>
      <c r="I48" s="258">
        <f>+'Gob juris'!G214</f>
        <v>26600</v>
      </c>
      <c r="J48" s="258">
        <f>+'Gob juris'!G218</f>
        <v>22350</v>
      </c>
      <c r="K48" s="258">
        <f>+'Gob juris'!H218</f>
        <v>0</v>
      </c>
      <c r="L48" s="304">
        <f>+'Gob juris'!G224</f>
        <v>0</v>
      </c>
      <c r="M48" s="1"/>
      <c r="N48" s="1"/>
    </row>
    <row r="49" spans="1:14" s="48" customFormat="1" ht="12.75">
      <c r="A49" s="323" t="s">
        <v>933</v>
      </c>
      <c r="B49" s="203" t="s">
        <v>681</v>
      </c>
      <c r="C49" s="198" t="s">
        <v>936</v>
      </c>
      <c r="D49" s="324">
        <f>+SUM(D50:D52)</f>
        <v>24155630</v>
      </c>
      <c r="E49" s="324">
        <f aca="true" t="shared" si="13" ref="E49:L49">+SUM(E50:E52)</f>
        <v>14030850</v>
      </c>
      <c r="F49" s="324">
        <f t="shared" si="13"/>
        <v>287420</v>
      </c>
      <c r="G49" s="324">
        <f t="shared" si="13"/>
        <v>8917900</v>
      </c>
      <c r="H49" s="324">
        <f t="shared" si="13"/>
        <v>0</v>
      </c>
      <c r="I49" s="324">
        <f t="shared" si="13"/>
        <v>0</v>
      </c>
      <c r="J49" s="324">
        <f t="shared" si="13"/>
        <v>919460</v>
      </c>
      <c r="K49" s="324">
        <f t="shared" si="13"/>
        <v>0</v>
      </c>
      <c r="L49" s="325">
        <f t="shared" si="13"/>
        <v>0</v>
      </c>
      <c r="M49" s="1"/>
      <c r="N49" s="1"/>
    </row>
    <row r="50" spans="1:14" s="48" customFormat="1" ht="12.75">
      <c r="A50" s="303"/>
      <c r="B50" s="197"/>
      <c r="C50" s="200" t="s">
        <v>34</v>
      </c>
      <c r="D50" s="258">
        <f>+SUM(E50:L50)</f>
        <v>2548300</v>
      </c>
      <c r="E50" s="258">
        <f>+'Gob juris'!$G36</f>
        <v>2232100</v>
      </c>
      <c r="F50" s="258">
        <f>+'Gob juris'!$G39</f>
        <v>80200</v>
      </c>
      <c r="G50" s="258">
        <f>+'Gob juris'!$G40</f>
        <v>144940</v>
      </c>
      <c r="H50" s="258">
        <v>0</v>
      </c>
      <c r="I50" s="258">
        <v>0</v>
      </c>
      <c r="J50" s="258">
        <f>+'Gob juris'!$G47</f>
        <v>91060</v>
      </c>
      <c r="K50" s="258">
        <v>0</v>
      </c>
      <c r="L50" s="304">
        <v>0</v>
      </c>
      <c r="M50" s="1"/>
      <c r="N50" s="1"/>
    </row>
    <row r="51" spans="1:14" s="48" customFormat="1" ht="12.75">
      <c r="A51" s="303"/>
      <c r="B51" s="197"/>
      <c r="C51" s="200" t="s">
        <v>986</v>
      </c>
      <c r="D51" s="258">
        <f>+SUM(E51:L51)</f>
        <v>20321510</v>
      </c>
      <c r="E51" s="258">
        <f>+obras!H11</f>
        <v>11334240</v>
      </c>
      <c r="F51" s="258">
        <f>+obras!H12</f>
        <v>158170</v>
      </c>
      <c r="G51" s="258">
        <f>+obras!H13</f>
        <v>8029560</v>
      </c>
      <c r="H51" s="258">
        <v>0</v>
      </c>
      <c r="I51" s="258">
        <v>0</v>
      </c>
      <c r="J51" s="258">
        <f>+obras!H18</f>
        <v>799540</v>
      </c>
      <c r="K51" s="258">
        <v>0</v>
      </c>
      <c r="L51" s="304">
        <v>0</v>
      </c>
      <c r="M51" s="1"/>
      <c r="N51" s="1"/>
    </row>
    <row r="52" spans="1:14" s="48" customFormat="1" ht="12.75">
      <c r="A52" s="303"/>
      <c r="B52" s="197"/>
      <c r="C52" s="200" t="s">
        <v>415</v>
      </c>
      <c r="D52" s="258">
        <f>+SUM(E52:L52)</f>
        <v>1285820</v>
      </c>
      <c r="E52" s="258">
        <f>+obras!I11</f>
        <v>464510</v>
      </c>
      <c r="F52" s="258">
        <f>+obras!I12</f>
        <v>49050</v>
      </c>
      <c r="G52" s="258">
        <f>+obras!I13</f>
        <v>743400</v>
      </c>
      <c r="H52" s="258"/>
      <c r="I52" s="258"/>
      <c r="J52" s="258">
        <f>+obras!I18</f>
        <v>28860</v>
      </c>
      <c r="K52" s="258"/>
      <c r="L52" s="304"/>
      <c r="M52" s="1"/>
      <c r="N52" s="1"/>
    </row>
    <row r="53" spans="1:14" s="33" customFormat="1" ht="12.75">
      <c r="A53" s="323" t="s">
        <v>933</v>
      </c>
      <c r="B53" s="203" t="s">
        <v>922</v>
      </c>
      <c r="C53" s="198" t="s">
        <v>937</v>
      </c>
      <c r="D53" s="324">
        <v>0</v>
      </c>
      <c r="E53" s="324">
        <v>0</v>
      </c>
      <c r="F53" s="324">
        <v>0</v>
      </c>
      <c r="G53" s="324">
        <v>0</v>
      </c>
      <c r="H53" s="324">
        <v>0</v>
      </c>
      <c r="I53" s="324">
        <v>0</v>
      </c>
      <c r="J53" s="324">
        <v>0</v>
      </c>
      <c r="K53" s="324">
        <v>0</v>
      </c>
      <c r="L53" s="325">
        <v>0</v>
      </c>
      <c r="M53" s="1"/>
      <c r="N53" s="1"/>
    </row>
    <row r="54" spans="1:14" s="33" customFormat="1" ht="12.75">
      <c r="A54" s="341" t="s">
        <v>938</v>
      </c>
      <c r="B54" s="342"/>
      <c r="C54" s="194" t="s">
        <v>939</v>
      </c>
      <c r="D54" s="343">
        <f aca="true" t="shared" si="14" ref="D54:L54">+D55+D57+D58+D59</f>
        <v>3652000</v>
      </c>
      <c r="E54" s="343">
        <f t="shared" si="14"/>
        <v>1732160</v>
      </c>
      <c r="F54" s="343">
        <f t="shared" si="14"/>
        <v>157280</v>
      </c>
      <c r="G54" s="343">
        <f t="shared" si="14"/>
        <v>1675720</v>
      </c>
      <c r="H54" s="343">
        <f t="shared" si="14"/>
        <v>0</v>
      </c>
      <c r="I54" s="343">
        <f t="shared" si="14"/>
        <v>0</v>
      </c>
      <c r="J54" s="343">
        <f t="shared" si="14"/>
        <v>86840</v>
      </c>
      <c r="K54" s="343">
        <f t="shared" si="14"/>
        <v>0</v>
      </c>
      <c r="L54" s="344">
        <f t="shared" si="14"/>
        <v>0</v>
      </c>
      <c r="M54" s="1"/>
      <c r="N54" s="1"/>
    </row>
    <row r="55" spans="1:14" s="33" customFormat="1" ht="12.75">
      <c r="A55" s="323" t="s">
        <v>938</v>
      </c>
      <c r="B55" s="203" t="s">
        <v>666</v>
      </c>
      <c r="C55" s="198" t="s">
        <v>940</v>
      </c>
      <c r="D55" s="324">
        <f aca="true" t="shared" si="15" ref="D55:L55">+SUM(D56:D56)</f>
        <v>3652000</v>
      </c>
      <c r="E55" s="324">
        <f t="shared" si="15"/>
        <v>1732160</v>
      </c>
      <c r="F55" s="324">
        <f t="shared" si="15"/>
        <v>157280</v>
      </c>
      <c r="G55" s="324">
        <f t="shared" si="15"/>
        <v>1675720</v>
      </c>
      <c r="H55" s="324">
        <f t="shared" si="15"/>
        <v>0</v>
      </c>
      <c r="I55" s="324">
        <f t="shared" si="15"/>
        <v>0</v>
      </c>
      <c r="J55" s="324">
        <f t="shared" si="15"/>
        <v>86840</v>
      </c>
      <c r="K55" s="324">
        <f t="shared" si="15"/>
        <v>0</v>
      </c>
      <c r="L55" s="325">
        <f t="shared" si="15"/>
        <v>0</v>
      </c>
      <c r="M55" s="1"/>
      <c r="N55" s="1"/>
    </row>
    <row r="56" spans="1:14" ht="12.75">
      <c r="A56" s="303"/>
      <c r="B56" s="197"/>
      <c r="C56" s="200" t="s">
        <v>941</v>
      </c>
      <c r="D56" s="258">
        <f>+SUM(E56:L56)</f>
        <v>3652000</v>
      </c>
      <c r="E56" s="258">
        <f>+'Gob juris'!$G93</f>
        <v>1732160</v>
      </c>
      <c r="F56" s="258">
        <f>+'Gob juris'!$G96</f>
        <v>157280</v>
      </c>
      <c r="G56" s="258">
        <f>+'Gob juris'!$G97</f>
        <v>1675720</v>
      </c>
      <c r="H56" s="258">
        <v>0</v>
      </c>
      <c r="I56" s="258">
        <f>+'Gob juris'!G100</f>
        <v>0</v>
      </c>
      <c r="J56" s="258">
        <f>+'Gob juris'!$G103</f>
        <v>86840</v>
      </c>
      <c r="K56" s="258">
        <v>0</v>
      </c>
      <c r="L56" s="304">
        <v>0</v>
      </c>
      <c r="M56" s="1"/>
      <c r="N56" s="1"/>
    </row>
    <row r="57" spans="1:14" s="33" customFormat="1" ht="12.75">
      <c r="A57" s="323" t="s">
        <v>938</v>
      </c>
      <c r="B57" s="203" t="s">
        <v>681</v>
      </c>
      <c r="C57" s="198" t="s">
        <v>942</v>
      </c>
      <c r="D57" s="324">
        <v>0</v>
      </c>
      <c r="E57" s="324">
        <v>0</v>
      </c>
      <c r="F57" s="324">
        <v>0</v>
      </c>
      <c r="G57" s="324">
        <v>0</v>
      </c>
      <c r="H57" s="324">
        <v>0</v>
      </c>
      <c r="I57" s="324">
        <v>0</v>
      </c>
      <c r="J57" s="324">
        <v>0</v>
      </c>
      <c r="K57" s="324">
        <v>0</v>
      </c>
      <c r="L57" s="325">
        <v>0</v>
      </c>
      <c r="M57" s="1"/>
      <c r="N57" s="1"/>
    </row>
    <row r="58" spans="1:14" s="33" customFormat="1" ht="12.75">
      <c r="A58" s="323" t="s">
        <v>938</v>
      </c>
      <c r="B58" s="203" t="s">
        <v>909</v>
      </c>
      <c r="C58" s="198" t="s">
        <v>943</v>
      </c>
      <c r="D58" s="324">
        <v>0</v>
      </c>
      <c r="E58" s="324">
        <v>0</v>
      </c>
      <c r="F58" s="324">
        <v>0</v>
      </c>
      <c r="G58" s="324">
        <v>0</v>
      </c>
      <c r="H58" s="324">
        <v>0</v>
      </c>
      <c r="I58" s="324">
        <v>0</v>
      </c>
      <c r="J58" s="324">
        <v>0</v>
      </c>
      <c r="K58" s="324">
        <v>0</v>
      </c>
      <c r="L58" s="325">
        <v>0</v>
      </c>
      <c r="M58" s="1"/>
      <c r="N58" s="1"/>
    </row>
    <row r="59" spans="1:14" s="33" customFormat="1" ht="12.75">
      <c r="A59" s="323" t="s">
        <v>938</v>
      </c>
      <c r="B59" s="203" t="s">
        <v>922</v>
      </c>
      <c r="C59" s="198" t="s">
        <v>944</v>
      </c>
      <c r="D59" s="324">
        <v>0</v>
      </c>
      <c r="E59" s="324">
        <v>0</v>
      </c>
      <c r="F59" s="324">
        <v>0</v>
      </c>
      <c r="G59" s="324">
        <v>0</v>
      </c>
      <c r="H59" s="324">
        <v>0</v>
      </c>
      <c r="I59" s="324">
        <v>0</v>
      </c>
      <c r="J59" s="324">
        <v>0</v>
      </c>
      <c r="K59" s="324">
        <v>0</v>
      </c>
      <c r="L59" s="325">
        <v>0</v>
      </c>
      <c r="M59" s="1"/>
      <c r="N59" s="1"/>
    </row>
    <row r="60" spans="1:14" s="33" customFormat="1" ht="12.75">
      <c r="A60" s="341" t="s">
        <v>945</v>
      </c>
      <c r="B60" s="342"/>
      <c r="C60" s="194" t="s">
        <v>946</v>
      </c>
      <c r="D60" s="343">
        <f>+D61+D62+D63+D64+D65+D66+D68+D69+D71+D72+D73+D74</f>
        <v>7829900</v>
      </c>
      <c r="E60" s="343">
        <f aca="true" t="shared" si="16" ref="E60:L60">+E61+E62+E63+E64+E65+E66+E68+E69+E71+E72+E73+E74</f>
        <v>1689410</v>
      </c>
      <c r="F60" s="343">
        <f t="shared" si="16"/>
        <v>506480</v>
      </c>
      <c r="G60" s="343">
        <f t="shared" si="16"/>
        <v>1019450</v>
      </c>
      <c r="H60" s="343">
        <f t="shared" si="16"/>
        <v>0</v>
      </c>
      <c r="I60" s="343">
        <f t="shared" si="16"/>
        <v>0</v>
      </c>
      <c r="J60" s="343">
        <f t="shared" si="16"/>
        <v>369040</v>
      </c>
      <c r="K60" s="343">
        <f t="shared" si="16"/>
        <v>4245520</v>
      </c>
      <c r="L60" s="344">
        <f t="shared" si="16"/>
        <v>0</v>
      </c>
      <c r="M60" s="1"/>
      <c r="N60" s="1"/>
    </row>
    <row r="61" spans="1:14" s="33" customFormat="1" ht="12.75">
      <c r="A61" s="323" t="s">
        <v>945</v>
      </c>
      <c r="B61" s="203" t="s">
        <v>666</v>
      </c>
      <c r="C61" s="198" t="s">
        <v>947</v>
      </c>
      <c r="D61" s="324">
        <v>0</v>
      </c>
      <c r="E61" s="324">
        <v>0</v>
      </c>
      <c r="F61" s="324">
        <v>0</v>
      </c>
      <c r="G61" s="324">
        <v>0</v>
      </c>
      <c r="H61" s="324">
        <v>0</v>
      </c>
      <c r="I61" s="324">
        <v>0</v>
      </c>
      <c r="J61" s="324">
        <v>0</v>
      </c>
      <c r="K61" s="324">
        <v>0</v>
      </c>
      <c r="L61" s="325">
        <v>0</v>
      </c>
      <c r="M61" s="1"/>
      <c r="N61" s="1"/>
    </row>
    <row r="62" spans="1:14" s="33" customFormat="1" ht="12.75">
      <c r="A62" s="323" t="s">
        <v>945</v>
      </c>
      <c r="B62" s="203" t="s">
        <v>673</v>
      </c>
      <c r="C62" s="198" t="s">
        <v>948</v>
      </c>
      <c r="D62" s="324">
        <v>0</v>
      </c>
      <c r="E62" s="324">
        <v>0</v>
      </c>
      <c r="F62" s="324">
        <v>0</v>
      </c>
      <c r="G62" s="324">
        <v>0</v>
      </c>
      <c r="H62" s="324">
        <v>0</v>
      </c>
      <c r="I62" s="324">
        <v>0</v>
      </c>
      <c r="J62" s="324">
        <v>0</v>
      </c>
      <c r="K62" s="324">
        <v>0</v>
      </c>
      <c r="L62" s="325">
        <v>0</v>
      </c>
      <c r="M62" s="1"/>
      <c r="N62" s="1"/>
    </row>
    <row r="63" spans="1:14" s="33" customFormat="1" ht="12.75">
      <c r="A63" s="323" t="s">
        <v>945</v>
      </c>
      <c r="B63" s="203" t="s">
        <v>681</v>
      </c>
      <c r="C63" s="198" t="s">
        <v>949</v>
      </c>
      <c r="D63" s="324">
        <v>0</v>
      </c>
      <c r="E63" s="324">
        <v>0</v>
      </c>
      <c r="F63" s="324">
        <v>0</v>
      </c>
      <c r="G63" s="324">
        <v>0</v>
      </c>
      <c r="H63" s="324">
        <v>0</v>
      </c>
      <c r="I63" s="324">
        <v>0</v>
      </c>
      <c r="J63" s="324">
        <v>0</v>
      </c>
      <c r="K63" s="324">
        <v>0</v>
      </c>
      <c r="L63" s="325">
        <v>0</v>
      </c>
      <c r="M63" s="1"/>
      <c r="N63" s="1"/>
    </row>
    <row r="64" spans="1:14" s="33" customFormat="1" ht="12.75">
      <c r="A64" s="323" t="s">
        <v>945</v>
      </c>
      <c r="B64" s="203" t="s">
        <v>909</v>
      </c>
      <c r="C64" s="198" t="s">
        <v>950</v>
      </c>
      <c r="D64" s="324">
        <v>0</v>
      </c>
      <c r="E64" s="324">
        <v>0</v>
      </c>
      <c r="F64" s="324">
        <v>0</v>
      </c>
      <c r="G64" s="324">
        <v>0</v>
      </c>
      <c r="H64" s="324">
        <v>0</v>
      </c>
      <c r="I64" s="324">
        <v>0</v>
      </c>
      <c r="J64" s="324">
        <v>0</v>
      </c>
      <c r="K64" s="324">
        <v>0</v>
      </c>
      <c r="L64" s="325">
        <v>0</v>
      </c>
      <c r="M64" s="1"/>
      <c r="N64" s="1"/>
    </row>
    <row r="65" spans="1:14" s="33" customFormat="1" ht="12.75">
      <c r="A65" s="323" t="s">
        <v>945</v>
      </c>
      <c r="B65" s="203" t="s">
        <v>911</v>
      </c>
      <c r="C65" s="198" t="s">
        <v>951</v>
      </c>
      <c r="D65" s="324">
        <v>0</v>
      </c>
      <c r="E65" s="324">
        <v>0</v>
      </c>
      <c r="F65" s="324">
        <v>0</v>
      </c>
      <c r="G65" s="324">
        <v>0</v>
      </c>
      <c r="H65" s="324">
        <v>0</v>
      </c>
      <c r="I65" s="324">
        <v>0</v>
      </c>
      <c r="J65" s="324">
        <v>0</v>
      </c>
      <c r="K65" s="324">
        <v>0</v>
      </c>
      <c r="L65" s="325">
        <v>0</v>
      </c>
      <c r="M65" s="1"/>
      <c r="N65" s="1"/>
    </row>
    <row r="66" spans="1:14" s="33" customFormat="1" ht="12.75">
      <c r="A66" s="323" t="s">
        <v>945</v>
      </c>
      <c r="B66" s="203" t="s">
        <v>952</v>
      </c>
      <c r="C66" s="198" t="s">
        <v>953</v>
      </c>
      <c r="D66" s="324">
        <f>+D67</f>
        <v>216710</v>
      </c>
      <c r="E66" s="324">
        <f aca="true" t="shared" si="17" ref="E66:L66">+E67</f>
        <v>53880</v>
      </c>
      <c r="F66" s="324">
        <f t="shared" si="17"/>
        <v>41550</v>
      </c>
      <c r="G66" s="324">
        <f t="shared" si="17"/>
        <v>92840</v>
      </c>
      <c r="H66" s="324">
        <f t="shared" si="17"/>
        <v>0</v>
      </c>
      <c r="I66" s="324">
        <f t="shared" si="17"/>
        <v>0</v>
      </c>
      <c r="J66" s="324">
        <f t="shared" si="17"/>
        <v>28440</v>
      </c>
      <c r="K66" s="324">
        <f t="shared" si="17"/>
        <v>0</v>
      </c>
      <c r="L66" s="325">
        <f t="shared" si="17"/>
        <v>0</v>
      </c>
      <c r="M66" s="1"/>
      <c r="N66" s="1"/>
    </row>
    <row r="67" spans="1:14" s="33" customFormat="1" ht="12.75">
      <c r="A67" s="323"/>
      <c r="B67" s="203"/>
      <c r="C67" s="200" t="s">
        <v>953</v>
      </c>
      <c r="D67" s="258">
        <f>+SUM(E67:L67)</f>
        <v>216710</v>
      </c>
      <c r="E67" s="258">
        <f>+'SER.ESPEC.'!$G36</f>
        <v>53880</v>
      </c>
      <c r="F67" s="258">
        <f>+'SER.ESPEC.'!$G39</f>
        <v>41550</v>
      </c>
      <c r="G67" s="258">
        <f>+'SER.ESPEC.'!$G40</f>
        <v>92840</v>
      </c>
      <c r="H67" s="258">
        <v>0</v>
      </c>
      <c r="I67" s="258">
        <v>0</v>
      </c>
      <c r="J67" s="258">
        <f>+'SER.ESPEC.'!$G47</f>
        <v>28440</v>
      </c>
      <c r="K67" s="258">
        <v>0</v>
      </c>
      <c r="L67" s="304">
        <v>0</v>
      </c>
      <c r="M67" s="1"/>
      <c r="N67" s="1"/>
    </row>
    <row r="68" spans="1:14" s="33" customFormat="1" ht="12.75">
      <c r="A68" s="323" t="s">
        <v>945</v>
      </c>
      <c r="B68" s="203" t="s">
        <v>915</v>
      </c>
      <c r="C68" s="198" t="s">
        <v>633</v>
      </c>
      <c r="D68" s="324">
        <v>0</v>
      </c>
      <c r="E68" s="324">
        <v>0</v>
      </c>
      <c r="F68" s="324">
        <v>0</v>
      </c>
      <c r="G68" s="324">
        <v>0</v>
      </c>
      <c r="H68" s="324">
        <v>0</v>
      </c>
      <c r="I68" s="324">
        <v>0</v>
      </c>
      <c r="J68" s="324">
        <v>0</v>
      </c>
      <c r="K68" s="324">
        <v>0</v>
      </c>
      <c r="L68" s="325">
        <v>0</v>
      </c>
      <c r="M68" s="1"/>
      <c r="N68" s="1"/>
    </row>
    <row r="69" spans="1:14" s="33" customFormat="1" ht="12.75">
      <c r="A69" s="323" t="s">
        <v>945</v>
      </c>
      <c r="B69" s="203" t="s">
        <v>954</v>
      </c>
      <c r="C69" s="198" t="s">
        <v>955</v>
      </c>
      <c r="D69" s="324">
        <f>+D70</f>
        <v>7112860</v>
      </c>
      <c r="E69" s="324">
        <f aca="true" t="shared" si="18" ref="E69:L69">+E70</f>
        <v>1359740</v>
      </c>
      <c r="F69" s="324">
        <f t="shared" si="18"/>
        <v>450000</v>
      </c>
      <c r="G69" s="324">
        <f t="shared" si="18"/>
        <v>746900</v>
      </c>
      <c r="H69" s="324">
        <f t="shared" si="18"/>
        <v>0</v>
      </c>
      <c r="I69" s="324">
        <f t="shared" si="18"/>
        <v>0</v>
      </c>
      <c r="J69" s="324">
        <f t="shared" si="18"/>
        <v>310700</v>
      </c>
      <c r="K69" s="324">
        <f t="shared" si="18"/>
        <v>4245520</v>
      </c>
      <c r="L69" s="325">
        <f t="shared" si="18"/>
        <v>0</v>
      </c>
      <c r="M69" s="1"/>
      <c r="N69" s="1"/>
    </row>
    <row r="70" spans="1:14" ht="12.75">
      <c r="A70" s="303"/>
      <c r="B70" s="197"/>
      <c r="C70" s="200" t="s">
        <v>980</v>
      </c>
      <c r="D70" s="258">
        <f>+SUM(E70:L70)</f>
        <v>7112860</v>
      </c>
      <c r="E70" s="258">
        <f>+'obras juris'!$G93</f>
        <v>1359740</v>
      </c>
      <c r="F70" s="258">
        <f>+'obras juris'!$G96</f>
        <v>450000</v>
      </c>
      <c r="G70" s="258">
        <f>+'obras juris'!$G97</f>
        <v>746900</v>
      </c>
      <c r="H70" s="258">
        <v>0</v>
      </c>
      <c r="I70" s="258">
        <v>0</v>
      </c>
      <c r="J70" s="258">
        <f>+'obras juris'!$G104</f>
        <v>310700</v>
      </c>
      <c r="K70" s="258">
        <f>+'obras juris'!$G105</f>
        <v>4245520</v>
      </c>
      <c r="L70" s="304">
        <v>0</v>
      </c>
      <c r="M70" s="1"/>
      <c r="N70" s="1"/>
    </row>
    <row r="71" spans="1:14" s="33" customFormat="1" ht="12.75">
      <c r="A71" s="323" t="s">
        <v>945</v>
      </c>
      <c r="B71" s="203" t="s">
        <v>956</v>
      </c>
      <c r="C71" s="198" t="s">
        <v>856</v>
      </c>
      <c r="D71" s="324">
        <v>0</v>
      </c>
      <c r="E71" s="324">
        <v>0</v>
      </c>
      <c r="F71" s="324">
        <v>0</v>
      </c>
      <c r="G71" s="324">
        <v>0</v>
      </c>
      <c r="H71" s="324">
        <v>0</v>
      </c>
      <c r="I71" s="324">
        <v>0</v>
      </c>
      <c r="J71" s="324">
        <v>0</v>
      </c>
      <c r="K71" s="324">
        <v>0</v>
      </c>
      <c r="L71" s="325">
        <v>0</v>
      </c>
      <c r="M71" s="1"/>
      <c r="N71" s="1"/>
    </row>
    <row r="72" spans="1:14" s="33" customFormat="1" ht="12.75">
      <c r="A72" s="323" t="s">
        <v>945</v>
      </c>
      <c r="B72" s="203" t="s">
        <v>918</v>
      </c>
      <c r="C72" s="198" t="s">
        <v>957</v>
      </c>
      <c r="D72" s="324">
        <v>0</v>
      </c>
      <c r="E72" s="324">
        <v>0</v>
      </c>
      <c r="F72" s="324">
        <v>0</v>
      </c>
      <c r="G72" s="324">
        <v>0</v>
      </c>
      <c r="H72" s="324">
        <v>0</v>
      </c>
      <c r="I72" s="324">
        <v>0</v>
      </c>
      <c r="J72" s="324">
        <v>0</v>
      </c>
      <c r="K72" s="324">
        <v>0</v>
      </c>
      <c r="L72" s="325">
        <v>0</v>
      </c>
      <c r="M72" s="1"/>
      <c r="N72" s="1"/>
    </row>
    <row r="73" spans="1:14" s="33" customFormat="1" ht="12.75">
      <c r="A73" s="323" t="s">
        <v>945</v>
      </c>
      <c r="B73" s="203" t="s">
        <v>920</v>
      </c>
      <c r="C73" s="198" t="s">
        <v>958</v>
      </c>
      <c r="D73" s="324">
        <v>0</v>
      </c>
      <c r="E73" s="324">
        <v>0</v>
      </c>
      <c r="F73" s="324">
        <v>0</v>
      </c>
      <c r="G73" s="324">
        <v>0</v>
      </c>
      <c r="H73" s="324">
        <v>0</v>
      </c>
      <c r="I73" s="324">
        <v>0</v>
      </c>
      <c r="J73" s="324">
        <v>0</v>
      </c>
      <c r="K73" s="324">
        <v>0</v>
      </c>
      <c r="L73" s="325">
        <v>0</v>
      </c>
      <c r="M73" s="1"/>
      <c r="N73" s="1"/>
    </row>
    <row r="74" spans="1:14" s="33" customFormat="1" ht="12.75">
      <c r="A74" s="323" t="s">
        <v>945</v>
      </c>
      <c r="B74" s="203" t="s">
        <v>922</v>
      </c>
      <c r="C74" s="198" t="s">
        <v>959</v>
      </c>
      <c r="D74" s="324">
        <f>+D75</f>
        <v>500330</v>
      </c>
      <c r="E74" s="324">
        <f aca="true" t="shared" si="19" ref="E74:L74">+E75</f>
        <v>275790</v>
      </c>
      <c r="F74" s="324">
        <f t="shared" si="19"/>
        <v>14930</v>
      </c>
      <c r="G74" s="324">
        <f t="shared" si="19"/>
        <v>179710</v>
      </c>
      <c r="H74" s="324">
        <f t="shared" si="19"/>
        <v>0</v>
      </c>
      <c r="I74" s="324">
        <f t="shared" si="19"/>
        <v>0</v>
      </c>
      <c r="J74" s="324">
        <f t="shared" si="19"/>
        <v>29900</v>
      </c>
      <c r="K74" s="324">
        <f t="shared" si="19"/>
        <v>0</v>
      </c>
      <c r="L74" s="325">
        <f t="shared" si="19"/>
        <v>0</v>
      </c>
      <c r="M74" s="1"/>
      <c r="N74" s="1"/>
    </row>
    <row r="75" spans="1:14" s="33" customFormat="1" ht="13.5" thickBot="1">
      <c r="A75" s="326"/>
      <c r="B75" s="327"/>
      <c r="C75" s="306" t="s">
        <v>35</v>
      </c>
      <c r="D75" s="328">
        <f>+SUM(E75:L75)</f>
        <v>500330</v>
      </c>
      <c r="E75" s="328">
        <f>+'Gob juris'!G235</f>
        <v>275790</v>
      </c>
      <c r="F75" s="328">
        <f>+'Gob juris'!G238</f>
        <v>14930</v>
      </c>
      <c r="G75" s="328">
        <f>+'Gob juris'!G239</f>
        <v>179710</v>
      </c>
      <c r="H75" s="328">
        <v>0</v>
      </c>
      <c r="I75" s="328">
        <v>0</v>
      </c>
      <c r="J75" s="328">
        <f>+'Gob juris'!G246</f>
        <v>29900</v>
      </c>
      <c r="K75" s="328">
        <v>0</v>
      </c>
      <c r="L75" s="307">
        <v>0</v>
      </c>
      <c r="M75" s="1"/>
      <c r="N75" s="1"/>
    </row>
    <row r="76" spans="1:12" ht="14.25" thickBot="1" thickTop="1">
      <c r="A76" s="794" t="s">
        <v>633</v>
      </c>
      <c r="B76" s="795"/>
      <c r="C76" s="801"/>
      <c r="D76" s="173">
        <f aca="true" t="shared" si="20" ref="D76:L76">+D46+D54+D60+D45</f>
        <v>67317854.653</v>
      </c>
      <c r="E76" s="173">
        <f t="shared" si="20"/>
        <v>38654484.653</v>
      </c>
      <c r="F76" s="173">
        <f t="shared" si="20"/>
        <v>2026840</v>
      </c>
      <c r="G76" s="173">
        <f t="shared" si="20"/>
        <v>18044010</v>
      </c>
      <c r="H76" s="173">
        <f t="shared" si="20"/>
        <v>1834000</v>
      </c>
      <c r="I76" s="173">
        <f t="shared" si="20"/>
        <v>225370</v>
      </c>
      <c r="J76" s="173">
        <f t="shared" si="20"/>
        <v>2287630</v>
      </c>
      <c r="K76" s="173">
        <f t="shared" si="20"/>
        <v>4245520</v>
      </c>
      <c r="L76" s="173">
        <f t="shared" si="20"/>
        <v>0</v>
      </c>
    </row>
    <row r="77" spans="1:5" s="33" customFormat="1" ht="12.75">
      <c r="A77" s="34"/>
      <c r="B77" s="34"/>
      <c r="C77" s="48"/>
      <c r="D77" s="41"/>
      <c r="E77" s="41"/>
    </row>
    <row r="78" spans="1:9" s="33" customFormat="1" ht="12.75">
      <c r="A78" s="54">
        <f>+'FINAL. FUNCION'!A67</f>
        <v>0</v>
      </c>
      <c r="B78" s="65"/>
      <c r="C78" s="48"/>
      <c r="D78" s="9"/>
      <c r="E78" s="9"/>
      <c r="I78" s="41"/>
    </row>
    <row r="79" spans="1:12" ht="12.75">
      <c r="A79" s="788" t="s">
        <v>382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</row>
    <row r="80" spans="1:5" ht="12.75">
      <c r="A80" s="65"/>
      <c r="B80" s="65"/>
      <c r="C80" s="48"/>
      <c r="D80" s="9"/>
      <c r="E80" s="9"/>
    </row>
    <row r="81" spans="1:12" ht="12.75">
      <c r="A81" s="788" t="s">
        <v>1101</v>
      </c>
      <c r="B81" s="788"/>
      <c r="C81" s="788"/>
      <c r="D81" s="788"/>
      <c r="E81" s="788"/>
      <c r="F81" s="788"/>
      <c r="G81" s="788"/>
      <c r="H81" s="788"/>
      <c r="I81" s="788"/>
      <c r="J81" s="788"/>
      <c r="K81" s="788"/>
      <c r="L81" s="788"/>
    </row>
    <row r="82" spans="1:5" s="33" customFormat="1" ht="12.75">
      <c r="A82" s="34"/>
      <c r="B82" s="34"/>
      <c r="C82" s="48"/>
      <c r="D82" s="41"/>
      <c r="E82" s="41"/>
    </row>
    <row r="83" spans="1:5" ht="13.5" thickBot="1">
      <c r="A83" s="45"/>
      <c r="B83" s="65"/>
      <c r="C83" s="48"/>
      <c r="D83" s="9"/>
      <c r="E83" s="9"/>
    </row>
    <row r="84" spans="1:12" ht="12.75">
      <c r="A84" s="796" t="s">
        <v>975</v>
      </c>
      <c r="B84" s="797"/>
      <c r="C84" s="315" t="s">
        <v>902</v>
      </c>
      <c r="D84" s="315" t="s">
        <v>976</v>
      </c>
      <c r="E84" s="315" t="s">
        <v>644</v>
      </c>
      <c r="F84" s="315" t="s">
        <v>1091</v>
      </c>
      <c r="G84" s="315" t="s">
        <v>646</v>
      </c>
      <c r="H84" s="315" t="s">
        <v>1093</v>
      </c>
      <c r="I84" s="315" t="s">
        <v>1095</v>
      </c>
      <c r="J84" s="315" t="s">
        <v>1091</v>
      </c>
      <c r="K84" s="315" t="s">
        <v>1098</v>
      </c>
      <c r="L84" s="315" t="s">
        <v>1100</v>
      </c>
    </row>
    <row r="85" spans="1:12" ht="13.5" thickBot="1">
      <c r="A85" s="316"/>
      <c r="B85" s="317"/>
      <c r="C85" s="316"/>
      <c r="D85" s="316" t="s">
        <v>1090</v>
      </c>
      <c r="E85" s="316"/>
      <c r="F85" s="316" t="s">
        <v>1092</v>
      </c>
      <c r="G85" s="316"/>
      <c r="H85" s="316" t="s">
        <v>1094</v>
      </c>
      <c r="I85" s="316" t="s">
        <v>1096</v>
      </c>
      <c r="J85" s="316" t="s">
        <v>1097</v>
      </c>
      <c r="K85" s="316" t="s">
        <v>1099</v>
      </c>
      <c r="L85" s="316" t="s">
        <v>1094</v>
      </c>
    </row>
    <row r="86" spans="1:14" s="11" customFormat="1" ht="12.75">
      <c r="A86" s="345"/>
      <c r="B86" s="346"/>
      <c r="C86" s="347" t="s">
        <v>633</v>
      </c>
      <c r="D86" s="348">
        <f>+D76</f>
        <v>67317854.653</v>
      </c>
      <c r="E86" s="348">
        <f aca="true" t="shared" si="21" ref="E86:L86">+E76</f>
        <v>38654484.653</v>
      </c>
      <c r="F86" s="348">
        <f t="shared" si="21"/>
        <v>2026840</v>
      </c>
      <c r="G86" s="348">
        <f t="shared" si="21"/>
        <v>18044010</v>
      </c>
      <c r="H86" s="348">
        <f t="shared" si="21"/>
        <v>1834000</v>
      </c>
      <c r="I86" s="348">
        <f t="shared" si="21"/>
        <v>225370</v>
      </c>
      <c r="J86" s="348">
        <f t="shared" si="21"/>
        <v>2287630</v>
      </c>
      <c r="K86" s="348">
        <f t="shared" si="21"/>
        <v>4245520</v>
      </c>
      <c r="L86" s="349">
        <f t="shared" si="21"/>
        <v>0</v>
      </c>
      <c r="M86" s="1"/>
      <c r="N86" s="1"/>
    </row>
    <row r="87" spans="1:14" s="33" customFormat="1" ht="12.75">
      <c r="A87" s="350" t="s">
        <v>960</v>
      </c>
      <c r="B87" s="342"/>
      <c r="C87" s="194" t="s">
        <v>961</v>
      </c>
      <c r="D87" s="343">
        <f>+D88+D89+D91+D93+D95</f>
        <v>7064200</v>
      </c>
      <c r="E87" s="343">
        <f>+E88+E89+E91+E93+E95</f>
        <v>4026590</v>
      </c>
      <c r="F87" s="343">
        <f>+F88+F89+F91+F93+F95</f>
        <v>122160</v>
      </c>
      <c r="G87" s="343">
        <f>+G88+G89+G91+G93+G95</f>
        <v>1398110</v>
      </c>
      <c r="H87" s="343">
        <f>+H88+H89+H91+H93+H95</f>
        <v>0</v>
      </c>
      <c r="I87" s="343">
        <f>+I89+I91+I93+I95</f>
        <v>1429270</v>
      </c>
      <c r="J87" s="343">
        <f>+J88+J89+J91+J93+J95</f>
        <v>88070</v>
      </c>
      <c r="K87" s="343">
        <f>+K88+K89+K91+K93+K95</f>
        <v>0</v>
      </c>
      <c r="L87" s="195">
        <f>+L88+L89+L91+L93+L95</f>
        <v>0</v>
      </c>
      <c r="M87" s="1"/>
      <c r="N87" s="1"/>
    </row>
    <row r="88" spans="1:14" s="33" customFormat="1" ht="12.75">
      <c r="A88" s="239" t="s">
        <v>960</v>
      </c>
      <c r="B88" s="203" t="s">
        <v>666</v>
      </c>
      <c r="C88" s="198" t="s">
        <v>1089</v>
      </c>
      <c r="D88" s="324">
        <v>0</v>
      </c>
      <c r="E88" s="324">
        <v>0</v>
      </c>
      <c r="F88" s="324">
        <v>0</v>
      </c>
      <c r="G88" s="324">
        <v>0</v>
      </c>
      <c r="H88" s="324">
        <v>0</v>
      </c>
      <c r="I88" s="324">
        <v>0</v>
      </c>
      <c r="J88" s="324">
        <v>0</v>
      </c>
      <c r="K88" s="324">
        <v>0</v>
      </c>
      <c r="L88" s="199">
        <v>0</v>
      </c>
      <c r="M88" s="1"/>
      <c r="N88" s="1"/>
    </row>
    <row r="89" spans="1:14" s="33" customFormat="1" ht="12.75">
      <c r="A89" s="239" t="s">
        <v>960</v>
      </c>
      <c r="B89" s="203" t="s">
        <v>681</v>
      </c>
      <c r="C89" s="198" t="s">
        <v>963</v>
      </c>
      <c r="D89" s="324">
        <f aca="true" t="shared" si="22" ref="D89:L89">+SUM(D90:D90)</f>
        <v>2558160</v>
      </c>
      <c r="E89" s="324">
        <f t="shared" si="22"/>
        <v>571030</v>
      </c>
      <c r="F89" s="324">
        <f t="shared" si="22"/>
        <v>33280</v>
      </c>
      <c r="G89" s="324">
        <f t="shared" si="22"/>
        <v>646360</v>
      </c>
      <c r="H89" s="324">
        <f t="shared" si="22"/>
        <v>0</v>
      </c>
      <c r="I89" s="324">
        <f t="shared" si="22"/>
        <v>1229270</v>
      </c>
      <c r="J89" s="324">
        <f t="shared" si="22"/>
        <v>78220</v>
      </c>
      <c r="K89" s="324">
        <f t="shared" si="22"/>
        <v>0</v>
      </c>
      <c r="L89" s="199">
        <f t="shared" si="22"/>
        <v>0</v>
      </c>
      <c r="M89" s="1"/>
      <c r="N89" s="1"/>
    </row>
    <row r="90" spans="1:14" s="33" customFormat="1" ht="12.75">
      <c r="A90" s="239"/>
      <c r="B90" s="203"/>
      <c r="C90" s="200" t="s">
        <v>941</v>
      </c>
      <c r="D90" s="258">
        <f>+SUM(E90:L90)</f>
        <v>2558160</v>
      </c>
      <c r="E90" s="258">
        <f>+'Gob juris'!$G178</f>
        <v>571030</v>
      </c>
      <c r="F90" s="258">
        <f>+'Gob juris'!$G181</f>
        <v>33280</v>
      </c>
      <c r="G90" s="258">
        <f>+'Gob juris'!$G182</f>
        <v>646360</v>
      </c>
      <c r="H90" s="258">
        <v>0</v>
      </c>
      <c r="I90" s="258">
        <f>+'Gob juris'!G186</f>
        <v>1229270</v>
      </c>
      <c r="J90" s="258">
        <f>+'Gob juris'!$G189</f>
        <v>78220</v>
      </c>
      <c r="K90" s="258">
        <v>0</v>
      </c>
      <c r="L90" s="201">
        <v>0</v>
      </c>
      <c r="M90" s="1"/>
      <c r="N90" s="1"/>
    </row>
    <row r="91" spans="1:14" s="33" customFormat="1" ht="12.75">
      <c r="A91" s="239" t="s">
        <v>960</v>
      </c>
      <c r="B91" s="203" t="s">
        <v>909</v>
      </c>
      <c r="C91" s="198" t="s">
        <v>964</v>
      </c>
      <c r="D91" s="324">
        <f aca="true" t="shared" si="23" ref="D91:L91">+SUM(D92:D92)</f>
        <v>2379220</v>
      </c>
      <c r="E91" s="324">
        <f t="shared" si="23"/>
        <v>1842850</v>
      </c>
      <c r="F91" s="324">
        <f t="shared" si="23"/>
        <v>12630</v>
      </c>
      <c r="G91" s="324">
        <f t="shared" si="23"/>
        <v>317930</v>
      </c>
      <c r="H91" s="324">
        <f t="shared" si="23"/>
        <v>0</v>
      </c>
      <c r="I91" s="324">
        <f t="shared" si="23"/>
        <v>200000</v>
      </c>
      <c r="J91" s="324">
        <f t="shared" si="23"/>
        <v>5810</v>
      </c>
      <c r="K91" s="324">
        <f t="shared" si="23"/>
        <v>0</v>
      </c>
      <c r="L91" s="199">
        <f t="shared" si="23"/>
        <v>0</v>
      </c>
      <c r="M91" s="1"/>
      <c r="N91" s="1"/>
    </row>
    <row r="92" spans="1:14" s="33" customFormat="1" ht="12.75">
      <c r="A92" s="239"/>
      <c r="B92" s="203"/>
      <c r="C92" s="200" t="s">
        <v>82</v>
      </c>
      <c r="D92" s="258">
        <f>+SUM(E92:L92)</f>
        <v>2379220</v>
      </c>
      <c r="E92" s="258">
        <f>+'Gob juris'!$G121</f>
        <v>1842850</v>
      </c>
      <c r="F92" s="258">
        <f>+'Gob juris'!$G124</f>
        <v>12630</v>
      </c>
      <c r="G92" s="258">
        <f>+'Gob juris'!$G125</f>
        <v>317930</v>
      </c>
      <c r="H92" s="258">
        <f>+'Gob juris'!$G126</f>
        <v>0</v>
      </c>
      <c r="I92" s="258">
        <f>+'Gob juris'!$G128</f>
        <v>200000</v>
      </c>
      <c r="J92" s="258">
        <f>+'Gob juris'!$G132</f>
        <v>5810</v>
      </c>
      <c r="K92" s="258">
        <f>+'Gob juris'!$G133</f>
        <v>0</v>
      </c>
      <c r="L92" s="201">
        <f>+'Gob juris'!$G138</f>
        <v>0</v>
      </c>
      <c r="M92" s="1"/>
      <c r="N92" s="1"/>
    </row>
    <row r="93" spans="1:14" s="33" customFormat="1" ht="12.75">
      <c r="A93" s="239" t="s">
        <v>960</v>
      </c>
      <c r="B93" s="203" t="s">
        <v>911</v>
      </c>
      <c r="C93" s="198" t="s">
        <v>965</v>
      </c>
      <c r="D93" s="324">
        <f aca="true" t="shared" si="24" ref="D93:L93">+SUM(D94:D94)</f>
        <v>2126820</v>
      </c>
      <c r="E93" s="324">
        <f t="shared" si="24"/>
        <v>1612710</v>
      </c>
      <c r="F93" s="324">
        <f t="shared" si="24"/>
        <v>76250</v>
      </c>
      <c r="G93" s="324">
        <f t="shared" si="24"/>
        <v>433820</v>
      </c>
      <c r="H93" s="324">
        <f t="shared" si="24"/>
        <v>0</v>
      </c>
      <c r="I93" s="324">
        <f t="shared" si="24"/>
        <v>0</v>
      </c>
      <c r="J93" s="324">
        <f t="shared" si="24"/>
        <v>4040</v>
      </c>
      <c r="K93" s="324">
        <f t="shared" si="24"/>
        <v>0</v>
      </c>
      <c r="L93" s="199">
        <f t="shared" si="24"/>
        <v>0</v>
      </c>
      <c r="M93" s="1"/>
      <c r="N93" s="1"/>
    </row>
    <row r="94" spans="1:14" ht="12.75">
      <c r="A94" s="238"/>
      <c r="B94" s="197"/>
      <c r="C94" s="200" t="s">
        <v>965</v>
      </c>
      <c r="D94" s="258">
        <f>+SUM(E94:L94)</f>
        <v>2126820</v>
      </c>
      <c r="E94" s="258">
        <f>+'Gob juris'!$G64</f>
        <v>1612710</v>
      </c>
      <c r="F94" s="258">
        <f>+'Gob juris'!$G67</f>
        <v>76250</v>
      </c>
      <c r="G94" s="258">
        <f>+'Gob juris'!$G68</f>
        <v>433820</v>
      </c>
      <c r="H94" s="258">
        <v>0</v>
      </c>
      <c r="I94" s="258">
        <v>0</v>
      </c>
      <c r="J94" s="258">
        <f>+'Gob juris'!$G75</f>
        <v>4040</v>
      </c>
      <c r="K94" s="258">
        <v>0</v>
      </c>
      <c r="L94" s="201">
        <v>0</v>
      </c>
      <c r="M94" s="1"/>
      <c r="N94" s="1"/>
    </row>
    <row r="95" spans="1:14" s="33" customFormat="1" ht="12.75">
      <c r="A95" s="239" t="s">
        <v>960</v>
      </c>
      <c r="B95" s="203" t="s">
        <v>922</v>
      </c>
      <c r="C95" s="198" t="s">
        <v>966</v>
      </c>
      <c r="D95" s="324">
        <v>0</v>
      </c>
      <c r="E95" s="324">
        <v>0</v>
      </c>
      <c r="F95" s="324">
        <v>0</v>
      </c>
      <c r="G95" s="324">
        <v>0</v>
      </c>
      <c r="H95" s="324">
        <v>0</v>
      </c>
      <c r="I95" s="324">
        <v>0</v>
      </c>
      <c r="J95" s="324">
        <v>0</v>
      </c>
      <c r="K95" s="324">
        <v>0</v>
      </c>
      <c r="L95" s="199">
        <v>0</v>
      </c>
      <c r="M95" s="1"/>
      <c r="N95" s="1"/>
    </row>
    <row r="96" spans="1:14" ht="12.75">
      <c r="A96" s="350" t="s">
        <v>967</v>
      </c>
      <c r="B96" s="342"/>
      <c r="C96" s="194" t="s">
        <v>968</v>
      </c>
      <c r="D96" s="343">
        <f>+D97</f>
        <v>3682780</v>
      </c>
      <c r="E96" s="343">
        <f aca="true" t="shared" si="25" ref="E96:L96">+E97</f>
        <v>0</v>
      </c>
      <c r="F96" s="343">
        <f t="shared" si="25"/>
        <v>0</v>
      </c>
      <c r="G96" s="343">
        <f t="shared" si="25"/>
        <v>0</v>
      </c>
      <c r="H96" s="343">
        <f t="shared" si="25"/>
        <v>0</v>
      </c>
      <c r="I96" s="343">
        <f t="shared" si="25"/>
        <v>0</v>
      </c>
      <c r="J96" s="343">
        <f t="shared" si="25"/>
        <v>0</v>
      </c>
      <c r="K96" s="343">
        <f t="shared" si="25"/>
        <v>0</v>
      </c>
      <c r="L96" s="195">
        <f t="shared" si="25"/>
        <v>3682780</v>
      </c>
      <c r="M96" s="1"/>
      <c r="N96" s="1"/>
    </row>
    <row r="97" spans="1:14" s="33" customFormat="1" ht="12.75">
      <c r="A97" s="239" t="s">
        <v>967</v>
      </c>
      <c r="B97" s="203" t="s">
        <v>666</v>
      </c>
      <c r="C97" s="198" t="s">
        <v>969</v>
      </c>
      <c r="D97" s="324">
        <f>+'hac juris'!G25</f>
        <v>3682780</v>
      </c>
      <c r="E97" s="258">
        <v>0</v>
      </c>
      <c r="F97" s="258">
        <v>0</v>
      </c>
      <c r="G97" s="258">
        <v>0</v>
      </c>
      <c r="H97" s="258">
        <v>0</v>
      </c>
      <c r="I97" s="258">
        <v>0</v>
      </c>
      <c r="J97" s="258">
        <v>0</v>
      </c>
      <c r="K97" s="258">
        <v>0</v>
      </c>
      <c r="L97" s="201">
        <f>+'hac juris'!G25</f>
        <v>3682780</v>
      </c>
      <c r="M97" s="1"/>
      <c r="N97" s="1"/>
    </row>
    <row r="98" spans="1:14" ht="12.75">
      <c r="A98" s="350" t="s">
        <v>970</v>
      </c>
      <c r="B98" s="342"/>
      <c r="C98" s="194" t="s">
        <v>971</v>
      </c>
      <c r="D98" s="343">
        <f>+D99</f>
        <v>31372357</v>
      </c>
      <c r="E98" s="343">
        <f aca="true" t="shared" si="26" ref="E98:L98">+E99</f>
        <v>17332357</v>
      </c>
      <c r="F98" s="343">
        <f t="shared" si="26"/>
        <v>2356600</v>
      </c>
      <c r="G98" s="343">
        <f t="shared" si="26"/>
        <v>2644770</v>
      </c>
      <c r="H98" s="343">
        <f t="shared" si="26"/>
        <v>0</v>
      </c>
      <c r="I98" s="343">
        <f t="shared" si="26"/>
        <v>600000</v>
      </c>
      <c r="J98" s="343">
        <f t="shared" si="26"/>
        <v>1015420</v>
      </c>
      <c r="K98" s="343">
        <f t="shared" si="26"/>
        <v>7423210</v>
      </c>
      <c r="L98" s="195">
        <f t="shared" si="26"/>
        <v>0</v>
      </c>
      <c r="M98" s="1"/>
      <c r="N98" s="1"/>
    </row>
    <row r="99" spans="1:14" s="33" customFormat="1" ht="12.75">
      <c r="A99" s="239" t="s">
        <v>970</v>
      </c>
      <c r="B99" s="203" t="s">
        <v>666</v>
      </c>
      <c r="C99" s="198" t="s">
        <v>972</v>
      </c>
      <c r="D99" s="324">
        <f aca="true" t="shared" si="27" ref="D99:L99">+SUM(D100:D107)</f>
        <v>31372357</v>
      </c>
      <c r="E99" s="324">
        <f t="shared" si="27"/>
        <v>17332357</v>
      </c>
      <c r="F99" s="324">
        <f t="shared" si="27"/>
        <v>2356600</v>
      </c>
      <c r="G99" s="324">
        <f t="shared" si="27"/>
        <v>2644770</v>
      </c>
      <c r="H99" s="324">
        <f t="shared" si="27"/>
        <v>0</v>
      </c>
      <c r="I99" s="324">
        <f t="shared" si="27"/>
        <v>600000</v>
      </c>
      <c r="J99" s="324">
        <f t="shared" si="27"/>
        <v>1015420</v>
      </c>
      <c r="K99" s="324">
        <f t="shared" si="27"/>
        <v>7423210</v>
      </c>
      <c r="L99" s="199">
        <f t="shared" si="27"/>
        <v>0</v>
      </c>
      <c r="M99" s="1"/>
      <c r="N99" s="1"/>
    </row>
    <row r="100" spans="1:14" ht="12.75">
      <c r="A100" s="238"/>
      <c r="B100" s="197"/>
      <c r="C100" s="200" t="s">
        <v>978</v>
      </c>
      <c r="D100" s="258">
        <f aca="true" t="shared" si="28" ref="D100:D106">+SUM(E100:L100)</f>
        <v>1388080</v>
      </c>
      <c r="E100" s="258">
        <f>+'obras juris'!$G8</f>
        <v>947010</v>
      </c>
      <c r="F100" s="258">
        <f>+'obras juris'!$G11</f>
        <v>180990</v>
      </c>
      <c r="G100" s="258">
        <f>+'obras juris'!$G12</f>
        <v>237620</v>
      </c>
      <c r="H100" s="258">
        <v>0</v>
      </c>
      <c r="I100" s="258">
        <v>0</v>
      </c>
      <c r="J100" s="258">
        <f>+'obras juris'!$G19</f>
        <v>22460</v>
      </c>
      <c r="K100" s="258">
        <v>0</v>
      </c>
      <c r="L100" s="201">
        <v>0</v>
      </c>
      <c r="M100" s="1"/>
      <c r="N100" s="1"/>
    </row>
    <row r="101" spans="1:14" ht="12.75">
      <c r="A101" s="238"/>
      <c r="B101" s="197"/>
      <c r="C101" s="200" t="s">
        <v>983</v>
      </c>
      <c r="D101" s="258">
        <f t="shared" si="28"/>
        <v>1493690</v>
      </c>
      <c r="E101" s="258">
        <f>+'obras juris'!$G36</f>
        <v>775570</v>
      </c>
      <c r="F101" s="258">
        <f>+'obras juris'!$G39</f>
        <v>52360</v>
      </c>
      <c r="G101" s="258">
        <f>+'obras juris'!$G40</f>
        <v>65760</v>
      </c>
      <c r="H101" s="258">
        <v>0</v>
      </c>
      <c r="I101" s="258">
        <f>+'obras juris'!G44</f>
        <v>600000</v>
      </c>
      <c r="J101" s="258">
        <f>+'obras juris'!$G47</f>
        <v>0</v>
      </c>
      <c r="K101" s="258">
        <v>0</v>
      </c>
      <c r="L101" s="201">
        <v>0</v>
      </c>
      <c r="M101" s="1"/>
      <c r="N101" s="1"/>
    </row>
    <row r="102" spans="1:14" ht="12.75">
      <c r="A102" s="238"/>
      <c r="B102" s="197"/>
      <c r="C102" s="200" t="s">
        <v>979</v>
      </c>
      <c r="D102" s="258">
        <f t="shared" si="28"/>
        <v>10114540</v>
      </c>
      <c r="E102" s="258">
        <f>+'obras juris'!$G64</f>
        <v>2686100</v>
      </c>
      <c r="F102" s="258">
        <f>+'obras juris'!$G67</f>
        <v>125000</v>
      </c>
      <c r="G102" s="258">
        <f>+'obras juris'!$G68</f>
        <v>293030</v>
      </c>
      <c r="H102" s="258">
        <v>0</v>
      </c>
      <c r="I102" s="258">
        <v>0</v>
      </c>
      <c r="J102" s="258">
        <f>+'obras juris'!$G75</f>
        <v>7200</v>
      </c>
      <c r="K102" s="258">
        <f>+'obras juris'!$G76</f>
        <v>7003210</v>
      </c>
      <c r="L102" s="201">
        <v>0</v>
      </c>
      <c r="M102" s="1"/>
      <c r="N102" s="1"/>
    </row>
    <row r="103" spans="1:14" ht="12.75">
      <c r="A103" s="238"/>
      <c r="B103" s="197"/>
      <c r="C103" s="200" t="s">
        <v>981</v>
      </c>
      <c r="D103" s="258">
        <f t="shared" si="28"/>
        <v>1623560</v>
      </c>
      <c r="E103" s="258">
        <f>+'obras juris'!$G121</f>
        <v>694570</v>
      </c>
      <c r="F103" s="258">
        <f>+'obras juris'!$G124</f>
        <v>179440</v>
      </c>
      <c r="G103" s="258">
        <f>+'obras juris'!$G125</f>
        <v>324550</v>
      </c>
      <c r="H103" s="258">
        <v>0</v>
      </c>
      <c r="I103" s="258">
        <v>0</v>
      </c>
      <c r="J103" s="258">
        <f>+'obras juris'!$G132</f>
        <v>5000</v>
      </c>
      <c r="K103" s="258">
        <f>+'obras juris'!$G133</f>
        <v>420000</v>
      </c>
      <c r="L103" s="201">
        <v>0</v>
      </c>
      <c r="M103" s="1"/>
      <c r="N103" s="1"/>
    </row>
    <row r="104" spans="1:14" ht="12.75">
      <c r="A104" s="238"/>
      <c r="B104" s="197"/>
      <c r="C104" s="200" t="s">
        <v>982</v>
      </c>
      <c r="D104" s="258">
        <f t="shared" si="28"/>
        <v>1132507</v>
      </c>
      <c r="E104" s="258">
        <f>+'obras juris'!$G149</f>
        <v>954447</v>
      </c>
      <c r="F104" s="258">
        <f>+'obras juris'!$G152</f>
        <v>7130</v>
      </c>
      <c r="G104" s="258">
        <f>+'obras juris'!$G153</f>
        <v>170170</v>
      </c>
      <c r="H104" s="258">
        <v>0</v>
      </c>
      <c r="I104" s="258">
        <v>0</v>
      </c>
      <c r="J104" s="258">
        <f>+'obras juris'!$G160</f>
        <v>760</v>
      </c>
      <c r="K104" s="258">
        <v>0</v>
      </c>
      <c r="L104" s="201">
        <v>0</v>
      </c>
      <c r="M104" s="1"/>
      <c r="N104" s="1"/>
    </row>
    <row r="105" spans="1:14" ht="12.75">
      <c r="A105" s="238"/>
      <c r="B105" s="197"/>
      <c r="C105" s="200" t="s">
        <v>984</v>
      </c>
      <c r="D105" s="258">
        <f t="shared" si="28"/>
        <v>13615740</v>
      </c>
      <c r="E105" s="258">
        <f>+obras!F11</f>
        <v>9323640</v>
      </c>
      <c r="F105" s="258">
        <f>+obras!F12</f>
        <v>1803180</v>
      </c>
      <c r="G105" s="258">
        <f>+obras!F13</f>
        <v>1514640</v>
      </c>
      <c r="H105" s="258">
        <v>0</v>
      </c>
      <c r="I105" s="258">
        <v>0</v>
      </c>
      <c r="J105" s="258">
        <f>+obras!F18</f>
        <v>974280</v>
      </c>
      <c r="K105" s="258">
        <v>0</v>
      </c>
      <c r="L105" s="201">
        <v>0</v>
      </c>
      <c r="M105" s="1"/>
      <c r="N105" s="1"/>
    </row>
    <row r="106" spans="1:14" ht="12.75">
      <c r="A106" s="238"/>
      <c r="B106" s="197"/>
      <c r="C106" s="200" t="s">
        <v>985</v>
      </c>
      <c r="D106" s="258">
        <f t="shared" si="28"/>
        <v>2004240</v>
      </c>
      <c r="E106" s="258">
        <f>+'obras juris'!$G346</f>
        <v>1951020</v>
      </c>
      <c r="F106" s="258">
        <f>+'obras juris'!$G349</f>
        <v>8500</v>
      </c>
      <c r="G106" s="258">
        <f>+'obras juris'!$G350</f>
        <v>39000</v>
      </c>
      <c r="H106" s="258">
        <v>0</v>
      </c>
      <c r="I106" s="258">
        <v>0</v>
      </c>
      <c r="J106" s="258">
        <f>+'obras juris'!$G357</f>
        <v>5720</v>
      </c>
      <c r="K106" s="258">
        <v>0</v>
      </c>
      <c r="L106" s="201">
        <v>0</v>
      </c>
      <c r="M106" s="1"/>
      <c r="N106" s="1"/>
    </row>
    <row r="107" spans="1:12" ht="13.5" thickBot="1">
      <c r="A107" s="351"/>
      <c r="B107" s="206"/>
      <c r="C107" s="207"/>
      <c r="D107" s="352"/>
      <c r="E107" s="353"/>
      <c r="F107" s="353"/>
      <c r="G107" s="353"/>
      <c r="H107" s="353"/>
      <c r="I107" s="353"/>
      <c r="J107" s="353"/>
      <c r="K107" s="353"/>
      <c r="L107" s="354"/>
    </row>
    <row r="108" spans="1:12" ht="13.5" thickBot="1">
      <c r="A108" s="798" t="s">
        <v>638</v>
      </c>
      <c r="B108" s="799"/>
      <c r="C108" s="800"/>
      <c r="D108" s="173">
        <f aca="true" t="shared" si="29" ref="D108:L108">+D86+D87+D96+D98</f>
        <v>109437191.653</v>
      </c>
      <c r="E108" s="173">
        <f t="shared" si="29"/>
        <v>60013431.653</v>
      </c>
      <c r="F108" s="173">
        <f t="shared" si="29"/>
        <v>4505600</v>
      </c>
      <c r="G108" s="173">
        <f t="shared" si="29"/>
        <v>22086890</v>
      </c>
      <c r="H108" s="173">
        <f t="shared" si="29"/>
        <v>1834000</v>
      </c>
      <c r="I108" s="173">
        <f t="shared" si="29"/>
        <v>2254640</v>
      </c>
      <c r="J108" s="173">
        <f t="shared" si="29"/>
        <v>3391120</v>
      </c>
      <c r="K108" s="173">
        <f t="shared" si="29"/>
        <v>11668730</v>
      </c>
      <c r="L108" s="173">
        <f t="shared" si="29"/>
        <v>3682780</v>
      </c>
    </row>
    <row r="110" ht="12.75">
      <c r="I110" s="1"/>
    </row>
    <row r="111" spans="6:12" ht="12.75">
      <c r="F111" s="1"/>
      <c r="G111" s="1"/>
      <c r="H111" s="1"/>
      <c r="I111" s="1"/>
      <c r="J111" s="1"/>
      <c r="K111" s="1"/>
      <c r="L111" s="1"/>
    </row>
    <row r="112" ht="12.75">
      <c r="M112" s="1"/>
    </row>
  </sheetData>
  <sheetProtection/>
  <mergeCells count="12">
    <mergeCell ref="A39:L39"/>
    <mergeCell ref="A41:L41"/>
    <mergeCell ref="A6:B6"/>
    <mergeCell ref="A36:C36"/>
    <mergeCell ref="A2:L2"/>
    <mergeCell ref="A4:L4"/>
    <mergeCell ref="A84:B84"/>
    <mergeCell ref="A108:C108"/>
    <mergeCell ref="A79:L79"/>
    <mergeCell ref="A81:L81"/>
    <mergeCell ref="A43:B43"/>
    <mergeCell ref="A76:C76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0" r:id="rId1"/>
  <rowBreaks count="2" manualBreakCount="2">
    <brk id="36" max="255" man="1"/>
    <brk id="7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M80"/>
  <sheetViews>
    <sheetView zoomScale="75" zoomScaleNormal="75" zoomScaleSheetLayoutView="50" zoomScalePageLayoutView="0" workbookViewId="0" topLeftCell="A52">
      <selection activeCell="B33" sqref="B33"/>
    </sheetView>
  </sheetViews>
  <sheetFormatPr defaultColWidth="11.421875" defaultRowHeight="12.75"/>
  <cols>
    <col min="1" max="1" width="42.421875" style="18" bestFit="1" customWidth="1"/>
    <col min="2" max="2" width="15.57421875" style="18" bestFit="1" customWidth="1"/>
    <col min="3" max="3" width="9.140625" style="18" bestFit="1" customWidth="1"/>
    <col min="4" max="4" width="15.57421875" style="18" bestFit="1" customWidth="1"/>
    <col min="5" max="5" width="9.140625" style="18" bestFit="1" customWidth="1"/>
    <col min="6" max="6" width="12.7109375" style="18" bestFit="1" customWidth="1"/>
    <col min="7" max="7" width="3.00390625" style="18" customWidth="1"/>
    <col min="8" max="8" width="40.421875" style="18" bestFit="1" customWidth="1"/>
    <col min="9" max="9" width="15.57421875" style="18" bestFit="1" customWidth="1"/>
    <col min="10" max="10" width="9.140625" style="18" bestFit="1" customWidth="1"/>
    <col min="11" max="11" width="15.57421875" style="18" bestFit="1" customWidth="1"/>
    <col min="12" max="12" width="9.140625" style="18" bestFit="1" customWidth="1"/>
    <col min="13" max="13" width="14.421875" style="18" bestFit="1" customWidth="1"/>
    <col min="14" max="15" width="11.421875" style="18" customWidth="1"/>
    <col min="16" max="16384" width="11.421875" style="11" customWidth="1"/>
  </cols>
  <sheetData>
    <row r="1" spans="1:12" ht="12.75">
      <c r="A1" s="54">
        <f>+ANEXO3!A1</f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18">
      <c r="A2" s="804" t="s">
        <v>382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</row>
    <row r="3" spans="1:12" ht="12.75">
      <c r="A3" s="17"/>
      <c r="B3" s="19"/>
      <c r="C3" s="20"/>
      <c r="D3" s="17"/>
      <c r="E3" s="17"/>
      <c r="F3" s="17"/>
      <c r="G3" s="17"/>
      <c r="H3" s="17"/>
      <c r="I3" s="19"/>
      <c r="J3" s="20"/>
      <c r="K3" s="19"/>
      <c r="L3" s="20"/>
    </row>
    <row r="4" spans="1:13" ht="12.75">
      <c r="A4" s="802" t="s">
        <v>404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</row>
    <row r="5" spans="1:13" ht="12.75">
      <c r="A5" s="802" t="s">
        <v>887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</row>
    <row r="6" spans="1:13" ht="12.75">
      <c r="A6" s="803" t="s">
        <v>535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</row>
    <row r="7" spans="1:13" ht="12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2" ht="13.5" thickBot="1">
      <c r="A8" s="17"/>
      <c r="B8" s="19"/>
      <c r="C8" s="20"/>
      <c r="D8" s="17"/>
      <c r="E8" s="17"/>
      <c r="F8" s="17"/>
      <c r="G8" s="17"/>
      <c r="H8" s="17"/>
      <c r="I8" s="19"/>
      <c r="J8" s="20"/>
      <c r="K8" s="19"/>
      <c r="L8" s="20"/>
    </row>
    <row r="9" spans="1:13" ht="13.5" thickBot="1">
      <c r="A9" s="21" t="s">
        <v>737</v>
      </c>
      <c r="B9" s="21" t="s">
        <v>153</v>
      </c>
      <c r="C9" s="21" t="s">
        <v>538</v>
      </c>
      <c r="D9" s="355" t="s">
        <v>886</v>
      </c>
      <c r="E9" s="21" t="s">
        <v>538</v>
      </c>
      <c r="F9" s="21" t="s">
        <v>740</v>
      </c>
      <c r="G9" s="21"/>
      <c r="H9" s="21" t="s">
        <v>536</v>
      </c>
      <c r="I9" s="21" t="s">
        <v>153</v>
      </c>
      <c r="J9" s="21" t="s">
        <v>538</v>
      </c>
      <c r="K9" s="355" t="s">
        <v>886</v>
      </c>
      <c r="L9" s="21" t="s">
        <v>538</v>
      </c>
      <c r="M9" s="21" t="s">
        <v>740</v>
      </c>
    </row>
    <row r="10" spans="1:12" ht="12.75">
      <c r="A10" s="17"/>
      <c r="B10" s="19"/>
      <c r="C10" s="20"/>
      <c r="D10" s="19"/>
      <c r="E10" s="20"/>
      <c r="F10" s="17"/>
      <c r="G10" s="17"/>
      <c r="H10" s="17"/>
      <c r="I10" s="19"/>
      <c r="J10" s="20"/>
      <c r="K10" s="19"/>
      <c r="L10" s="20"/>
    </row>
    <row r="11" spans="1:13" ht="12.75">
      <c r="A11" s="57" t="s">
        <v>763</v>
      </c>
      <c r="B11" s="41">
        <f>+B13+B16+B20</f>
        <v>75914900</v>
      </c>
      <c r="C11" s="58">
        <f>+B11/B31</f>
        <v>0.872070345515266</v>
      </c>
      <c r="D11" s="158">
        <f>+D13+D16+D20</f>
        <v>90769030</v>
      </c>
      <c r="E11" s="58">
        <f>+D11/D31</f>
        <v>0.9000186311896029</v>
      </c>
      <c r="F11" s="23">
        <f>+D11-B11</f>
        <v>14854130</v>
      </c>
      <c r="G11" s="19"/>
      <c r="H11" s="24" t="s">
        <v>539</v>
      </c>
      <c r="I11" s="25">
        <f>I13+I17+I18</f>
        <v>75620860</v>
      </c>
      <c r="J11" s="22">
        <f>I11/I31</f>
        <v>0.8035113194087036</v>
      </c>
      <c r="K11" s="359">
        <f>K13+K17+K18</f>
        <v>90694561.653</v>
      </c>
      <c r="L11" s="22">
        <f>K11/K31</f>
        <v>0.8287361936385526</v>
      </c>
      <c r="M11" s="26">
        <f>+K11-I11</f>
        <v>15073701.652999997</v>
      </c>
    </row>
    <row r="12" spans="1:12" ht="12.75">
      <c r="A12" s="57"/>
      <c r="B12" s="41"/>
      <c r="C12" s="58"/>
      <c r="D12" s="58"/>
      <c r="E12" s="58"/>
      <c r="F12" s="23"/>
      <c r="G12" s="17"/>
      <c r="H12" s="17"/>
      <c r="I12" s="19"/>
      <c r="J12" s="20"/>
      <c r="K12" s="19"/>
      <c r="L12" s="20"/>
    </row>
    <row r="13" spans="1:13" ht="12.75">
      <c r="A13" s="33" t="s">
        <v>825</v>
      </c>
      <c r="B13" s="41">
        <f>SUM(B14:B15)</f>
        <v>26892400</v>
      </c>
      <c r="C13" s="58">
        <f>+B13/B11</f>
        <v>0.35424402851087206</v>
      </c>
      <c r="D13" s="158">
        <f>SUM(D14:D15)</f>
        <v>31604120</v>
      </c>
      <c r="E13" s="58">
        <f>+D13/D11</f>
        <v>0.34818175318167444</v>
      </c>
      <c r="F13" s="23">
        <f aca="true" t="shared" si="0" ref="F13:F22">+D13-B13</f>
        <v>4711720</v>
      </c>
      <c r="G13" s="19"/>
      <c r="H13" s="28" t="s">
        <v>741</v>
      </c>
      <c r="I13" s="23">
        <f>I14+I15+I16</f>
        <v>72885560</v>
      </c>
      <c r="J13" s="27">
        <f>I13/I31</f>
        <v>0.7744473215650051</v>
      </c>
      <c r="K13" s="356">
        <f>K14+K15+K16</f>
        <v>86605921.653</v>
      </c>
      <c r="L13" s="27">
        <f>K13/K31</f>
        <v>0.7913755858027436</v>
      </c>
      <c r="M13" s="26">
        <f aca="true" t="shared" si="1" ref="M13:M20">+K13-I13</f>
        <v>13720361.652999997</v>
      </c>
    </row>
    <row r="14" spans="1:13" ht="12.75">
      <c r="A14" s="48" t="s">
        <v>31</v>
      </c>
      <c r="B14" s="9">
        <v>26288700</v>
      </c>
      <c r="C14" s="59">
        <f>+B14/B13</f>
        <v>0.9775512784281061</v>
      </c>
      <c r="D14" s="356">
        <f>+resumen!B10</f>
        <v>31604120</v>
      </c>
      <c r="E14" s="59">
        <f>+D14/D13</f>
        <v>1</v>
      </c>
      <c r="F14" s="19">
        <f t="shared" si="0"/>
        <v>5315420</v>
      </c>
      <c r="G14" s="19"/>
      <c r="H14" s="17" t="s">
        <v>644</v>
      </c>
      <c r="I14" s="19">
        <v>45054310</v>
      </c>
      <c r="J14" s="20">
        <f>I14/I31</f>
        <v>0.47872568591720255</v>
      </c>
      <c r="K14" s="357">
        <f>+resumen!F10</f>
        <v>60013431.653</v>
      </c>
      <c r="L14" s="20">
        <f>K14/K31</f>
        <v>0.5483824168596056</v>
      </c>
      <c r="M14" s="29">
        <f t="shared" si="1"/>
        <v>14959121.652999997</v>
      </c>
    </row>
    <row r="15" spans="1:13" ht="12.75">
      <c r="A15" s="48" t="s">
        <v>24</v>
      </c>
      <c r="B15" s="9">
        <v>603700</v>
      </c>
      <c r="C15" s="59">
        <f>+B15/B13</f>
        <v>0.02244872157189392</v>
      </c>
      <c r="D15" s="356">
        <f>+resumen!B11</f>
        <v>0</v>
      </c>
      <c r="E15" s="59">
        <f>+D15/D13</f>
        <v>0</v>
      </c>
      <c r="F15" s="19">
        <f t="shared" si="0"/>
        <v>-603700</v>
      </c>
      <c r="G15" s="19"/>
      <c r="H15" s="17" t="s">
        <v>742</v>
      </c>
      <c r="I15" s="19">
        <v>5903220</v>
      </c>
      <c r="J15" s="20">
        <f>I15/I31</f>
        <v>0.06272481020395493</v>
      </c>
      <c r="K15" s="357">
        <f>+resumen!F11</f>
        <v>4505600</v>
      </c>
      <c r="L15" s="20">
        <f>K15/K31</f>
        <v>0.0411706471259443</v>
      </c>
      <c r="M15" s="29">
        <f t="shared" si="1"/>
        <v>-1397620</v>
      </c>
    </row>
    <row r="16" spans="1:13" ht="12.75">
      <c r="A16" s="33" t="s">
        <v>824</v>
      </c>
      <c r="B16" s="41">
        <f>+SUM(B17:B19)</f>
        <v>26062000</v>
      </c>
      <c r="C16" s="58">
        <f>+B16/B11</f>
        <v>0.34330546440817283</v>
      </c>
      <c r="D16" s="158">
        <f>+SUM(D17:D19)</f>
        <v>31713160</v>
      </c>
      <c r="E16" s="58">
        <f>+D16/D11</f>
        <v>0.34938304397436</v>
      </c>
      <c r="F16" s="23">
        <f t="shared" si="0"/>
        <v>5651160</v>
      </c>
      <c r="G16" s="17"/>
      <c r="H16" s="17" t="s">
        <v>646</v>
      </c>
      <c r="I16" s="19">
        <v>21928030</v>
      </c>
      <c r="J16" s="20">
        <f>I16/I31</f>
        <v>0.23299682544384756</v>
      </c>
      <c r="K16" s="357">
        <f>+resumen!F12</f>
        <v>22086890</v>
      </c>
      <c r="L16" s="20">
        <f>K16/K31</f>
        <v>0.2018225218171937</v>
      </c>
      <c r="M16" s="29">
        <f t="shared" si="1"/>
        <v>158860</v>
      </c>
    </row>
    <row r="17" spans="1:13" ht="12.75">
      <c r="A17" s="48" t="s">
        <v>32</v>
      </c>
      <c r="B17" s="9">
        <v>26062000</v>
      </c>
      <c r="C17" s="59">
        <f>+B17/B16</f>
        <v>1</v>
      </c>
      <c r="D17" s="357">
        <f>+resumen!B13</f>
        <v>30335080</v>
      </c>
      <c r="E17" s="59">
        <f>+D17/D16</f>
        <v>0.9565454845874709</v>
      </c>
      <c r="F17" s="19">
        <f t="shared" si="0"/>
        <v>4273080</v>
      </c>
      <c r="G17" s="19"/>
      <c r="H17" s="17" t="s">
        <v>684</v>
      </c>
      <c r="I17" s="19">
        <v>1541000</v>
      </c>
      <c r="J17" s="20">
        <f>I17/I31</f>
        <v>0.016373933636946367</v>
      </c>
      <c r="K17" s="357">
        <f>+resumen!F13</f>
        <v>1834000</v>
      </c>
      <c r="L17" s="20">
        <f>K17/K31</f>
        <v>0.01675847097589263</v>
      </c>
      <c r="M17" s="29">
        <f t="shared" si="1"/>
        <v>293000</v>
      </c>
    </row>
    <row r="18" spans="1:13" ht="12.75">
      <c r="A18" s="48" t="s">
        <v>25</v>
      </c>
      <c r="B18" s="9">
        <v>0</v>
      </c>
      <c r="C18" s="59">
        <f>+B18/B16</f>
        <v>0</v>
      </c>
      <c r="D18" s="357">
        <f>+resumen!B14</f>
        <v>0</v>
      </c>
      <c r="E18" s="59">
        <f>+D18/D16</f>
        <v>0</v>
      </c>
      <c r="F18" s="19">
        <f t="shared" si="0"/>
        <v>0</v>
      </c>
      <c r="G18" s="19"/>
      <c r="H18" s="17" t="s">
        <v>648</v>
      </c>
      <c r="I18" s="19">
        <v>1194300</v>
      </c>
      <c r="J18" s="20">
        <f>I18/I31</f>
        <v>0.01269006420675214</v>
      </c>
      <c r="K18" s="357">
        <f>+resumen!F14</f>
        <v>2254640</v>
      </c>
      <c r="L18" s="20">
        <f>K18/K31</f>
        <v>0.02060213685991634</v>
      </c>
      <c r="M18" s="29">
        <f t="shared" si="1"/>
        <v>1060340</v>
      </c>
    </row>
    <row r="19" spans="1:12" ht="12.75">
      <c r="A19" s="48" t="s">
        <v>26</v>
      </c>
      <c r="B19" s="9">
        <v>0</v>
      </c>
      <c r="C19" s="59">
        <f>+B19/B16</f>
        <v>0</v>
      </c>
      <c r="D19" s="357">
        <f>+resumen!B15</f>
        <v>1378080</v>
      </c>
      <c r="E19" s="59">
        <f>+D19/D16</f>
        <v>0.04345451541252906</v>
      </c>
      <c r="F19" s="19">
        <f t="shared" si="0"/>
        <v>1378080</v>
      </c>
      <c r="G19" s="19"/>
      <c r="H19" s="17"/>
      <c r="I19" s="19"/>
      <c r="J19" s="20"/>
      <c r="K19" s="19"/>
      <c r="L19" s="20"/>
    </row>
    <row r="20" spans="1:13" ht="12.75">
      <c r="A20" s="33" t="s">
        <v>540</v>
      </c>
      <c r="B20" s="41">
        <f>SUM(B21:B22)</f>
        <v>22960500</v>
      </c>
      <c r="C20" s="58">
        <f>+B20/B11</f>
        <v>0.3024505070809551</v>
      </c>
      <c r="D20" s="158">
        <f>SUM(D21:D22)</f>
        <v>27451750</v>
      </c>
      <c r="E20" s="58">
        <f>+D20/D11</f>
        <v>0.30243520284396563</v>
      </c>
      <c r="F20" s="23">
        <f t="shared" si="0"/>
        <v>4491250</v>
      </c>
      <c r="G20" s="17"/>
      <c r="H20" s="24" t="s">
        <v>548</v>
      </c>
      <c r="I20" s="25">
        <f>SUM(I22:I24)</f>
        <v>15031419</v>
      </c>
      <c r="J20" s="22">
        <f>I20/I31</f>
        <v>0.1597167145847727</v>
      </c>
      <c r="K20" s="359">
        <f>SUM(K22:K24)</f>
        <v>15059850</v>
      </c>
      <c r="L20" s="22">
        <f>K20/K31</f>
        <v>0.13761180977442566</v>
      </c>
      <c r="M20" s="26">
        <f t="shared" si="1"/>
        <v>28431</v>
      </c>
    </row>
    <row r="21" spans="1:12" ht="12.75">
      <c r="A21" s="48" t="s">
        <v>27</v>
      </c>
      <c r="B21" s="9">
        <v>18135100</v>
      </c>
      <c r="C21" s="59">
        <f>+B21/B20</f>
        <v>0.7898390714487925</v>
      </c>
      <c r="D21" s="357">
        <f>+resumen!B17</f>
        <v>21029750</v>
      </c>
      <c r="E21" s="59">
        <f>+D21/D20</f>
        <v>0.766062272896992</v>
      </c>
      <c r="F21" s="19">
        <f t="shared" si="0"/>
        <v>2894650</v>
      </c>
      <c r="G21" s="19"/>
      <c r="H21" s="17"/>
      <c r="I21" s="19"/>
      <c r="J21" s="20"/>
      <c r="K21" s="19"/>
      <c r="L21" s="20"/>
    </row>
    <row r="22" spans="1:13" ht="12.75">
      <c r="A22" s="48" t="s">
        <v>823</v>
      </c>
      <c r="B22" s="9">
        <v>4825400</v>
      </c>
      <c r="C22" s="59">
        <f>+B22/B20</f>
        <v>0.21016092855120752</v>
      </c>
      <c r="D22" s="357">
        <f>+resumen!B18</f>
        <v>6422000</v>
      </c>
      <c r="E22" s="59">
        <f>+D22/D20</f>
        <v>0.233937727103008</v>
      </c>
      <c r="F22" s="19">
        <f t="shared" si="0"/>
        <v>1596600</v>
      </c>
      <c r="G22" s="17"/>
      <c r="H22" s="17" t="s">
        <v>649</v>
      </c>
      <c r="I22" s="19">
        <v>2363600</v>
      </c>
      <c r="J22" s="20">
        <f>I22/I31</f>
        <v>0.025114490294799764</v>
      </c>
      <c r="K22" s="357">
        <f>+resumen!F16</f>
        <v>3391120</v>
      </c>
      <c r="L22" s="20">
        <f>K22/K31</f>
        <v>0.030986906268140144</v>
      </c>
      <c r="M22" s="29">
        <f>+K22-I22</f>
        <v>1027520</v>
      </c>
    </row>
    <row r="23" spans="1:13" ht="12.75">
      <c r="A23" s="48"/>
      <c r="B23" s="9"/>
      <c r="C23" s="59"/>
      <c r="D23" s="59"/>
      <c r="E23" s="59"/>
      <c r="F23" s="19"/>
      <c r="G23" s="19"/>
      <c r="H23" s="17" t="s">
        <v>650</v>
      </c>
      <c r="I23" s="19">
        <v>12667819</v>
      </c>
      <c r="J23" s="20">
        <f>I23/I31</f>
        <v>0.13460222428997295</v>
      </c>
      <c r="K23" s="357">
        <f>+resumen!F17</f>
        <v>11668730</v>
      </c>
      <c r="L23" s="20">
        <f>K23/K31</f>
        <v>0.10662490350628552</v>
      </c>
      <c r="M23" s="29">
        <f>+K23-I23</f>
        <v>-999089</v>
      </c>
    </row>
    <row r="24" spans="1:13" ht="12.75">
      <c r="A24" s="57" t="s">
        <v>809</v>
      </c>
      <c r="B24" s="41">
        <f>+SUM(B25:B29)</f>
        <v>11136449</v>
      </c>
      <c r="C24" s="58">
        <f>+B24/B31</f>
        <v>0.12792965448473406</v>
      </c>
      <c r="D24" s="158">
        <f>+SUM(D25:D29)</f>
        <v>10083360</v>
      </c>
      <c r="E24" s="58">
        <f>+D24/D31</f>
        <v>0.09998136881039706</v>
      </c>
      <c r="F24" s="23">
        <f aca="true" t="shared" si="2" ref="F24:F38">+D24-B24</f>
        <v>-1053089</v>
      </c>
      <c r="G24" s="19"/>
      <c r="H24" s="17" t="s">
        <v>651</v>
      </c>
      <c r="I24" s="19">
        <v>0</v>
      </c>
      <c r="J24" s="20">
        <f>I24/I31</f>
        <v>0</v>
      </c>
      <c r="K24" s="357">
        <f>+resumen!F18</f>
        <v>0</v>
      </c>
      <c r="L24" s="20">
        <f>K24/K31</f>
        <v>0</v>
      </c>
      <c r="M24" s="29">
        <f>+K24-I24</f>
        <v>0</v>
      </c>
    </row>
    <row r="25" spans="1:12" ht="12.75">
      <c r="A25" s="48" t="s">
        <v>28</v>
      </c>
      <c r="B25" s="9">
        <v>0</v>
      </c>
      <c r="C25" s="59">
        <f>+B25/B24</f>
        <v>0</v>
      </c>
      <c r="D25" s="357">
        <f>+resumen!B20</f>
        <v>0</v>
      </c>
      <c r="E25" s="59">
        <f>+D25/D24</f>
        <v>0</v>
      </c>
      <c r="F25" s="19">
        <f t="shared" si="2"/>
        <v>0</v>
      </c>
      <c r="G25" s="19"/>
      <c r="H25" s="17"/>
      <c r="I25" s="19"/>
      <c r="J25" s="20"/>
      <c r="K25" s="19"/>
      <c r="L25" s="20"/>
    </row>
    <row r="26" spans="1:13" ht="12.75">
      <c r="A26" s="48" t="s">
        <v>826</v>
      </c>
      <c r="B26" s="9">
        <v>1038070</v>
      </c>
      <c r="C26" s="59">
        <f>+B26/B24</f>
        <v>0.09321373446778232</v>
      </c>
      <c r="D26" s="357">
        <f>+resumen!B21</f>
        <v>10560</v>
      </c>
      <c r="E26" s="59">
        <f>+D26/D24</f>
        <v>0.0010472699576331698</v>
      </c>
      <c r="F26" s="19">
        <f t="shared" si="2"/>
        <v>-1027510</v>
      </c>
      <c r="G26" s="17"/>
      <c r="H26" s="24" t="s">
        <v>553</v>
      </c>
      <c r="I26" s="25">
        <f>+I28+I29</f>
        <v>3460720</v>
      </c>
      <c r="J26" s="22">
        <f>I26/I31</f>
        <v>0.03677196600652371</v>
      </c>
      <c r="K26" s="359">
        <f>SUM(K28:K29)</f>
        <v>3682780</v>
      </c>
      <c r="L26" s="22">
        <f>K26/K31</f>
        <v>0.03365199658702174</v>
      </c>
      <c r="M26" s="26">
        <f>+K26-I26</f>
        <v>222060</v>
      </c>
    </row>
    <row r="27" spans="1:12" ht="12.75">
      <c r="A27" s="48" t="s">
        <v>29</v>
      </c>
      <c r="B27" s="9">
        <v>35521</v>
      </c>
      <c r="C27" s="59">
        <f>+B27/B24</f>
        <v>0.0031896163669406646</v>
      </c>
      <c r="D27" s="357">
        <f>+resumen!B22</f>
        <v>0</v>
      </c>
      <c r="E27" s="59">
        <f>+D27/D24</f>
        <v>0</v>
      </c>
      <c r="F27" s="19">
        <f t="shared" si="2"/>
        <v>-35521</v>
      </c>
      <c r="G27" s="19"/>
      <c r="H27" s="17"/>
      <c r="I27" s="19"/>
      <c r="J27" s="20"/>
      <c r="K27" s="19"/>
      <c r="L27" s="20"/>
    </row>
    <row r="28" spans="1:13" ht="12.75">
      <c r="A28" s="48" t="s">
        <v>827</v>
      </c>
      <c r="B28" s="9">
        <v>0</v>
      </c>
      <c r="C28" s="59">
        <f>+B28/$B$24</f>
        <v>0</v>
      </c>
      <c r="D28" s="357">
        <f>+resumen!B23</f>
        <v>0</v>
      </c>
      <c r="E28" s="59">
        <f>+D28/$D$24</f>
        <v>0</v>
      </c>
      <c r="F28" s="19">
        <f t="shared" si="2"/>
        <v>0</v>
      </c>
      <c r="G28" s="17"/>
      <c r="H28" s="17" t="s">
        <v>45</v>
      </c>
      <c r="I28" s="19">
        <v>1611570</v>
      </c>
      <c r="J28" s="20">
        <f>I28/I31</f>
        <v>0.01712377691842548</v>
      </c>
      <c r="K28" s="357">
        <f>+resumen!F20</f>
        <v>1546030</v>
      </c>
      <c r="L28" s="20">
        <f>K28/K31</f>
        <v>0.014127098627513244</v>
      </c>
      <c r="M28" s="29">
        <f>+K28-I28</f>
        <v>-65540</v>
      </c>
    </row>
    <row r="29" spans="1:13" ht="12.75">
      <c r="A29" s="48" t="s">
        <v>127</v>
      </c>
      <c r="B29" s="9">
        <v>10062858</v>
      </c>
      <c r="C29" s="59">
        <f>+B29/$B$24</f>
        <v>0.903596649165277</v>
      </c>
      <c r="D29" s="358">
        <f>+resumen!B24</f>
        <v>10072800</v>
      </c>
      <c r="E29" s="59">
        <f>+D29/$D$24</f>
        <v>0.9989527300423668</v>
      </c>
      <c r="F29" s="19"/>
      <c r="G29" s="19"/>
      <c r="H29" s="17" t="s">
        <v>46</v>
      </c>
      <c r="I29" s="19">
        <v>1849150</v>
      </c>
      <c r="J29" s="20">
        <f>I29/I31</f>
        <v>0.019648189088098234</v>
      </c>
      <c r="K29" s="357">
        <f>+resumen!F21</f>
        <v>2136750</v>
      </c>
      <c r="L29" s="20">
        <f>K29/K31</f>
        <v>0.019524897959508496</v>
      </c>
      <c r="M29" s="29">
        <f>+K29-I29</f>
        <v>287600</v>
      </c>
    </row>
    <row r="30" spans="1:12" ht="13.5" thickBot="1">
      <c r="A30" s="48"/>
      <c r="B30" s="9"/>
      <c r="C30" s="59"/>
      <c r="D30" s="358"/>
      <c r="E30" s="59"/>
      <c r="F30" s="19"/>
      <c r="G30" s="17"/>
      <c r="H30" s="17"/>
      <c r="I30" s="19"/>
      <c r="J30" s="20"/>
      <c r="K30" s="19"/>
      <c r="L30" s="20"/>
    </row>
    <row r="31" spans="1:13" ht="13.5" thickBot="1">
      <c r="A31" s="33" t="s">
        <v>552</v>
      </c>
      <c r="B31" s="41">
        <f>+B11+B24</f>
        <v>87051349</v>
      </c>
      <c r="C31" s="58">
        <f>+B31/B38</f>
        <v>0.9249662631620101</v>
      </c>
      <c r="D31" s="158">
        <f>+D11+D24</f>
        <v>100852390</v>
      </c>
      <c r="E31" s="58">
        <f>+D31/D38</f>
        <v>0.9214012473311973</v>
      </c>
      <c r="F31" s="23">
        <f t="shared" si="2"/>
        <v>13801041</v>
      </c>
      <c r="G31" s="19"/>
      <c r="H31" s="24" t="s">
        <v>561</v>
      </c>
      <c r="I31" s="360">
        <f>I11+I20+I26</f>
        <v>94112999</v>
      </c>
      <c r="J31" s="243">
        <f>I31/I31</f>
        <v>1</v>
      </c>
      <c r="K31" s="360">
        <f>K11+K20+K26</f>
        <v>109437191.653</v>
      </c>
      <c r="L31" s="243">
        <f>K31/K31</f>
        <v>1</v>
      </c>
      <c r="M31" s="360">
        <f>+K31-I31</f>
        <v>15324192.652999997</v>
      </c>
    </row>
    <row r="32" spans="1:12" ht="12.75">
      <c r="A32" s="33" t="s">
        <v>634</v>
      </c>
      <c r="B32" s="41">
        <f>SUM(B33:B37)</f>
        <v>7061650</v>
      </c>
      <c r="C32" s="58">
        <f>+B32/B38</f>
        <v>0.07503373683798983</v>
      </c>
      <c r="D32" s="158">
        <f>SUM(D33:D37)</f>
        <v>8603062</v>
      </c>
      <c r="E32" s="58">
        <f>+D32/D38</f>
        <v>0.07859875266880265</v>
      </c>
      <c r="F32" s="23">
        <f t="shared" si="2"/>
        <v>1541412</v>
      </c>
      <c r="G32" s="19"/>
      <c r="H32" s="17"/>
      <c r="I32" s="19"/>
      <c r="J32" s="20"/>
      <c r="K32" s="19"/>
      <c r="L32" s="20"/>
    </row>
    <row r="33" spans="1:12" ht="12.75">
      <c r="A33" s="48" t="s">
        <v>562</v>
      </c>
      <c r="B33" s="9">
        <v>6849150</v>
      </c>
      <c r="C33" s="59">
        <f>+B33/B32</f>
        <v>0.969907882718628</v>
      </c>
      <c r="D33" s="357">
        <f>+resumen!B27</f>
        <v>4136750</v>
      </c>
      <c r="E33" s="59">
        <f>+D33/D32</f>
        <v>0.48084623823471223</v>
      </c>
      <c r="F33" s="19">
        <f t="shared" si="2"/>
        <v>-2712400</v>
      </c>
      <c r="G33" s="19"/>
      <c r="H33" s="17"/>
      <c r="I33" s="19"/>
      <c r="J33" s="20"/>
      <c r="K33" s="19"/>
      <c r="L33" s="20"/>
    </row>
    <row r="34" spans="1:12" ht="12.75">
      <c r="A34" s="48" t="s">
        <v>560</v>
      </c>
      <c r="B34" s="9">
        <v>0</v>
      </c>
      <c r="C34" s="59">
        <f>+B34/B32</f>
        <v>0</v>
      </c>
      <c r="D34" s="357">
        <f>+resumen!B31</f>
        <v>0</v>
      </c>
      <c r="E34" s="59">
        <f>+D34/D32</f>
        <v>0</v>
      </c>
      <c r="F34" s="19">
        <f t="shared" si="2"/>
        <v>0</v>
      </c>
      <c r="G34" s="19"/>
      <c r="H34" s="17"/>
      <c r="I34" s="19"/>
      <c r="J34" s="20"/>
      <c r="K34" s="19"/>
      <c r="L34" s="20"/>
    </row>
    <row r="35" spans="1:13" ht="12.75">
      <c r="A35" s="48" t="s">
        <v>828</v>
      </c>
      <c r="B35" s="9">
        <v>0</v>
      </c>
      <c r="C35" s="59">
        <f>+B35/B32</f>
        <v>0</v>
      </c>
      <c r="D35" s="357">
        <f>+resumen!B34</f>
        <v>0</v>
      </c>
      <c r="E35" s="59">
        <f>+D35/D32</f>
        <v>0</v>
      </c>
      <c r="F35" s="19">
        <f t="shared" si="2"/>
        <v>0</v>
      </c>
      <c r="G35" s="17"/>
      <c r="H35" s="30" t="s">
        <v>563</v>
      </c>
      <c r="I35" s="31" t="s">
        <v>537</v>
      </c>
      <c r="J35" s="32"/>
      <c r="K35" s="31" t="s">
        <v>537</v>
      </c>
      <c r="L35" s="20"/>
      <c r="M35" s="31" t="s">
        <v>55</v>
      </c>
    </row>
    <row r="36" spans="1:13" ht="12.75">
      <c r="A36" s="48" t="s">
        <v>829</v>
      </c>
      <c r="B36" s="9">
        <v>212500</v>
      </c>
      <c r="C36" s="59">
        <f>+B36/B32</f>
        <v>0.030092117281371917</v>
      </c>
      <c r="D36" s="357">
        <f>+resumen!B35</f>
        <v>4466312</v>
      </c>
      <c r="E36" s="59">
        <f>+D36/D32</f>
        <v>0.5191537617652877</v>
      </c>
      <c r="F36" s="19">
        <f t="shared" si="2"/>
        <v>4253812</v>
      </c>
      <c r="G36" s="23"/>
      <c r="H36" s="17" t="s">
        <v>564</v>
      </c>
      <c r="I36" s="19">
        <f>+B38</f>
        <v>94112999</v>
      </c>
      <c r="J36" s="20"/>
      <c r="K36" s="19">
        <f>+D38</f>
        <v>109455452</v>
      </c>
      <c r="L36" s="20"/>
      <c r="M36" s="23">
        <f>+K36-I36</f>
        <v>15342453</v>
      </c>
    </row>
    <row r="37" spans="1:13" ht="13.5" thickBot="1">
      <c r="A37" s="48" t="s">
        <v>830</v>
      </c>
      <c r="B37" s="9">
        <v>0</v>
      </c>
      <c r="C37" s="59">
        <f>+B37/B32</f>
        <v>0</v>
      </c>
      <c r="D37" s="357">
        <f>+resumen!B36</f>
        <v>0</v>
      </c>
      <c r="E37" s="59">
        <f>+D37/D32</f>
        <v>0</v>
      </c>
      <c r="F37" s="19">
        <f t="shared" si="2"/>
        <v>0</v>
      </c>
      <c r="H37" s="17" t="s">
        <v>565</v>
      </c>
      <c r="I37" s="19">
        <f>I31</f>
        <v>94112999</v>
      </c>
      <c r="J37" s="17"/>
      <c r="K37" s="19">
        <f>K31</f>
        <v>109437191.653</v>
      </c>
      <c r="L37" s="17"/>
      <c r="M37" s="23">
        <f>+K37-I37</f>
        <v>15324192.652999997</v>
      </c>
    </row>
    <row r="38" spans="1:13" ht="13.5" thickBot="1">
      <c r="A38" s="57" t="s">
        <v>566</v>
      </c>
      <c r="B38" s="184">
        <f>+B31+B32</f>
        <v>94112999</v>
      </c>
      <c r="C38" s="243">
        <f>+C32+C31</f>
        <v>1</v>
      </c>
      <c r="D38" s="184">
        <f>+D31+D32</f>
        <v>109455452</v>
      </c>
      <c r="E38" s="243">
        <f>+E32+E31</f>
        <v>1</v>
      </c>
      <c r="F38" s="360">
        <f t="shared" si="2"/>
        <v>15342453</v>
      </c>
      <c r="H38" s="30" t="s">
        <v>567</v>
      </c>
      <c r="I38" s="361">
        <f>I36-I37</f>
        <v>0</v>
      </c>
      <c r="J38" s="32"/>
      <c r="K38" s="361">
        <f>K36-K37</f>
        <v>18260.34700000286</v>
      </c>
      <c r="L38" s="20"/>
      <c r="M38" s="360">
        <f>+K38-I38</f>
        <v>18260.34700000286</v>
      </c>
    </row>
    <row r="39" spans="1:6" ht="12.75">
      <c r="A39" s="17"/>
      <c r="B39" s="19"/>
      <c r="C39" s="20"/>
      <c r="D39" s="19"/>
      <c r="E39" s="20"/>
      <c r="F39" s="17"/>
    </row>
    <row r="40" spans="1:6" ht="12.75">
      <c r="A40" s="24"/>
      <c r="B40" s="24"/>
      <c r="C40" s="24"/>
      <c r="D40" s="24"/>
      <c r="E40" s="24"/>
      <c r="F40" s="24"/>
    </row>
    <row r="41" spans="1:12" ht="12.75">
      <c r="A41" s="102">
        <f>+A1</f>
        <v>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3" ht="18">
      <c r="A42" s="804" t="s">
        <v>382</v>
      </c>
      <c r="B42" s="804"/>
      <c r="C42" s="804"/>
      <c r="D42" s="804"/>
      <c r="E42" s="804"/>
      <c r="F42" s="804"/>
      <c r="G42" s="804"/>
      <c r="H42" s="804"/>
      <c r="I42" s="804"/>
      <c r="J42" s="804"/>
      <c r="K42" s="804"/>
      <c r="L42" s="804"/>
      <c r="M42" s="804"/>
    </row>
    <row r="43" spans="1:12" ht="12.75">
      <c r="A43" s="17"/>
      <c r="B43" s="19"/>
      <c r="C43" s="20"/>
      <c r="D43" s="17"/>
      <c r="E43" s="17"/>
      <c r="F43" s="17"/>
      <c r="G43" s="17"/>
      <c r="H43" s="17"/>
      <c r="I43" s="19"/>
      <c r="J43" s="20"/>
      <c r="K43" s="19"/>
      <c r="L43" s="20"/>
    </row>
    <row r="44" spans="1:13" ht="12.75">
      <c r="A44" s="802" t="s">
        <v>534</v>
      </c>
      <c r="B44" s="802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</row>
    <row r="45" spans="1:13" ht="12.75">
      <c r="A45" s="802" t="s">
        <v>888</v>
      </c>
      <c r="B45" s="802"/>
      <c r="C45" s="802"/>
      <c r="D45" s="802"/>
      <c r="E45" s="802"/>
      <c r="F45" s="802"/>
      <c r="G45" s="802"/>
      <c r="H45" s="802"/>
      <c r="I45" s="802"/>
      <c r="J45" s="802"/>
      <c r="K45" s="802"/>
      <c r="L45" s="802"/>
      <c r="M45" s="802"/>
    </row>
    <row r="46" spans="1:13" ht="12.75">
      <c r="A46" s="803" t="s">
        <v>535</v>
      </c>
      <c r="B46" s="803"/>
      <c r="C46" s="803"/>
      <c r="D46" s="803"/>
      <c r="E46" s="803"/>
      <c r="F46" s="803"/>
      <c r="G46" s="803"/>
      <c r="H46" s="803"/>
      <c r="I46" s="803"/>
      <c r="J46" s="803"/>
      <c r="K46" s="803"/>
      <c r="L46" s="803"/>
      <c r="M46" s="803"/>
    </row>
    <row r="47" spans="1:12" ht="13.5" thickBot="1">
      <c r="A47" s="17"/>
      <c r="B47" s="19"/>
      <c r="C47" s="20"/>
      <c r="D47" s="17"/>
      <c r="E47" s="17"/>
      <c r="F47" s="17"/>
      <c r="G47" s="17"/>
      <c r="H47" s="17"/>
      <c r="I47" s="19"/>
      <c r="J47" s="20"/>
      <c r="K47" s="19"/>
      <c r="L47" s="20"/>
    </row>
    <row r="48" spans="1:13" ht="13.5" thickBot="1">
      <c r="A48" s="21" t="s">
        <v>737</v>
      </c>
      <c r="B48" s="21" t="s">
        <v>153</v>
      </c>
      <c r="C48" s="21" t="s">
        <v>538</v>
      </c>
      <c r="D48" s="355" t="s">
        <v>886</v>
      </c>
      <c r="E48" s="21" t="s">
        <v>538</v>
      </c>
      <c r="F48" s="21" t="s">
        <v>740</v>
      </c>
      <c r="G48" s="21"/>
      <c r="H48" s="21" t="s">
        <v>536</v>
      </c>
      <c r="I48" s="21" t="s">
        <v>153</v>
      </c>
      <c r="J48" s="21" t="s">
        <v>538</v>
      </c>
      <c r="K48" s="355" t="s">
        <v>886</v>
      </c>
      <c r="L48" s="21" t="s">
        <v>538</v>
      </c>
      <c r="M48" s="21" t="s">
        <v>740</v>
      </c>
    </row>
    <row r="49" spans="1:12" ht="12.75">
      <c r="A49" s="17"/>
      <c r="B49" s="104" t="s">
        <v>889</v>
      </c>
      <c r="C49" s="20"/>
      <c r="D49" s="19"/>
      <c r="E49" s="20"/>
      <c r="F49" s="17"/>
      <c r="G49" s="17"/>
      <c r="H49" s="17"/>
      <c r="I49" s="104" t="s">
        <v>889</v>
      </c>
      <c r="J49" s="20"/>
      <c r="K49" s="19"/>
      <c r="L49" s="20"/>
    </row>
    <row r="50" spans="1:13" ht="12.75">
      <c r="A50" s="57" t="s">
        <v>763</v>
      </c>
      <c r="B50" s="41">
        <f>+B52+B55+B59</f>
        <v>79776801.05</v>
      </c>
      <c r="C50" s="58">
        <f>+B50/B71</f>
        <v>0.8507078344094245</v>
      </c>
      <c r="D50" s="158">
        <f>+D52+D55+D59</f>
        <v>90769030</v>
      </c>
      <c r="E50" s="58">
        <f>+D50/D71</f>
        <v>0.9000186311896029</v>
      </c>
      <c r="F50" s="23">
        <f>+D50-B50</f>
        <v>10992228.950000003</v>
      </c>
      <c r="G50" s="19"/>
      <c r="H50" s="24" t="s">
        <v>539</v>
      </c>
      <c r="I50" s="25">
        <f>I52+I56+I57+I58</f>
        <v>79914243.56</v>
      </c>
      <c r="J50" s="22">
        <f>I50/I71</f>
        <v>0.7432325291269075</v>
      </c>
      <c r="K50" s="359">
        <f>K52+K56+K57</f>
        <v>90694561.653</v>
      </c>
      <c r="L50" s="22">
        <f>K50/K71</f>
        <v>0.8287361936385526</v>
      </c>
      <c r="M50" s="26">
        <f>+K50-I50</f>
        <v>10780318.092999995</v>
      </c>
    </row>
    <row r="51" spans="1:12" ht="12.75">
      <c r="A51" s="57"/>
      <c r="B51" s="41"/>
      <c r="C51" s="58"/>
      <c r="D51" s="58"/>
      <c r="E51" s="58"/>
      <c r="F51" s="23"/>
      <c r="G51" s="17"/>
      <c r="H51" s="17"/>
      <c r="I51" s="19"/>
      <c r="J51" s="20"/>
      <c r="K51" s="19"/>
      <c r="L51" s="20"/>
    </row>
    <row r="52" spans="1:13" ht="12.75">
      <c r="A52" s="33" t="s">
        <v>825</v>
      </c>
      <c r="B52" s="41">
        <f>SUM(B53:B54)</f>
        <v>29781199.97</v>
      </c>
      <c r="C52" s="58">
        <f>+B52/B50</f>
        <v>0.37330651991591735</v>
      </c>
      <c r="D52" s="158">
        <f>SUM(D53:D54)</f>
        <v>31604120</v>
      </c>
      <c r="E52" s="58">
        <f>+D52/D50</f>
        <v>0.34818175318167444</v>
      </c>
      <c r="F52" s="23">
        <f aca="true" t="shared" si="3" ref="F52:F61">+D52-B52</f>
        <v>1822920.0300000012</v>
      </c>
      <c r="G52" s="19"/>
      <c r="H52" s="28" t="s">
        <v>741</v>
      </c>
      <c r="I52" s="23">
        <f>I53+I54+I55</f>
        <v>74472519.71000001</v>
      </c>
      <c r="J52" s="27">
        <f>I52/I71</f>
        <v>0.6926224501262961</v>
      </c>
      <c r="K52" s="356">
        <f>K53+K54+K55</f>
        <v>86605921.653</v>
      </c>
      <c r="L52" s="27">
        <f>K52/K71</f>
        <v>0.7913755858027436</v>
      </c>
      <c r="M52" s="26">
        <f aca="true" t="shared" si="4" ref="M52:M57">+K52-I52</f>
        <v>12133401.942999989</v>
      </c>
    </row>
    <row r="53" spans="1:13" ht="12.75">
      <c r="A53" s="48" t="s">
        <v>31</v>
      </c>
      <c r="B53" s="9">
        <v>26288700</v>
      </c>
      <c r="C53" s="59">
        <f>+B53/B52</f>
        <v>0.882728030652957</v>
      </c>
      <c r="D53" s="356">
        <f>+resumen!B10</f>
        <v>31604120</v>
      </c>
      <c r="E53" s="59">
        <f>+D53/D52</f>
        <v>1</v>
      </c>
      <c r="F53" s="19">
        <f t="shared" si="3"/>
        <v>5315420</v>
      </c>
      <c r="G53" s="19"/>
      <c r="H53" s="17" t="s">
        <v>559</v>
      </c>
      <c r="I53" s="19">
        <v>46202749</v>
      </c>
      <c r="J53" s="20">
        <f>I53/I71</f>
        <v>0.42970294733633463</v>
      </c>
      <c r="K53" s="357">
        <f>+resumen!F10</f>
        <v>60013431.653</v>
      </c>
      <c r="L53" s="20">
        <f>K53/K71</f>
        <v>0.5483824168596056</v>
      </c>
      <c r="M53" s="29">
        <f t="shared" si="4"/>
        <v>13810682.652999997</v>
      </c>
    </row>
    <row r="54" spans="1:13" ht="12.75">
      <c r="A54" s="48" t="s">
        <v>24</v>
      </c>
      <c r="B54" s="9">
        <v>3492499.97</v>
      </c>
      <c r="C54" s="59">
        <f>+B54/B52</f>
        <v>0.11727196934704308</v>
      </c>
      <c r="D54" s="356">
        <f>+resumen!B11</f>
        <v>0</v>
      </c>
      <c r="E54" s="59">
        <f>+D54/D52</f>
        <v>0</v>
      </c>
      <c r="F54" s="19">
        <f t="shared" si="3"/>
        <v>-3492499.97</v>
      </c>
      <c r="G54" s="19"/>
      <c r="H54" s="17" t="s">
        <v>742</v>
      </c>
      <c r="I54" s="19">
        <v>3828454</v>
      </c>
      <c r="J54" s="20">
        <f>I54/I71</f>
        <v>0.035606062477831775</v>
      </c>
      <c r="K54" s="357">
        <f>+resumen!F11</f>
        <v>4505600</v>
      </c>
      <c r="L54" s="20">
        <f>K54/K71</f>
        <v>0.0411706471259443</v>
      </c>
      <c r="M54" s="29">
        <f t="shared" si="4"/>
        <v>677146</v>
      </c>
    </row>
    <row r="55" spans="1:13" ht="12.75">
      <c r="A55" s="33" t="s">
        <v>824</v>
      </c>
      <c r="B55" s="41">
        <f>+SUM(B56:B58)</f>
        <v>26164010.64</v>
      </c>
      <c r="C55" s="58">
        <f>+B55/B50</f>
        <v>0.3279651514680533</v>
      </c>
      <c r="D55" s="158">
        <f>+SUM(D56:D58)</f>
        <v>31713160</v>
      </c>
      <c r="E55" s="58">
        <f>+D55/D50</f>
        <v>0.34938304397436</v>
      </c>
      <c r="F55" s="23">
        <f t="shared" si="3"/>
        <v>5549149.359999999</v>
      </c>
      <c r="G55" s="17"/>
      <c r="H55" s="17" t="s">
        <v>646</v>
      </c>
      <c r="I55" s="19">
        <v>24441316.71</v>
      </c>
      <c r="J55" s="20">
        <f>I55/I71</f>
        <v>0.2273134403121296</v>
      </c>
      <c r="K55" s="357">
        <f>+resumen!F12</f>
        <v>22086890</v>
      </c>
      <c r="L55" s="20">
        <f>K55/K71</f>
        <v>0.2018225218171937</v>
      </c>
      <c r="M55" s="29">
        <f t="shared" si="4"/>
        <v>-2354426.710000001</v>
      </c>
    </row>
    <row r="56" spans="1:13" ht="12.75">
      <c r="A56" s="48" t="s">
        <v>32</v>
      </c>
      <c r="B56" s="9">
        <v>26062000</v>
      </c>
      <c r="C56" s="59">
        <f>+B56/B55</f>
        <v>0.996101108449939</v>
      </c>
      <c r="D56" s="357">
        <f>+resumen!B13</f>
        <v>30335080</v>
      </c>
      <c r="E56" s="59">
        <f>+D56/D55</f>
        <v>0.9565454845874709</v>
      </c>
      <c r="F56" s="19">
        <f t="shared" si="3"/>
        <v>4273080</v>
      </c>
      <c r="G56" s="19"/>
      <c r="H56" s="17" t="s">
        <v>684</v>
      </c>
      <c r="I56" s="19">
        <v>1441000</v>
      </c>
      <c r="J56" s="20">
        <f>I56/I71</f>
        <v>0.013401842109257572</v>
      </c>
      <c r="K56" s="357">
        <f>+resumen!F13</f>
        <v>1834000</v>
      </c>
      <c r="L56" s="20">
        <f>K56/K71</f>
        <v>0.01675847097589263</v>
      </c>
      <c r="M56" s="29">
        <f t="shared" si="4"/>
        <v>393000</v>
      </c>
    </row>
    <row r="57" spans="1:13" ht="12.75">
      <c r="A57" s="48" t="s">
        <v>25</v>
      </c>
      <c r="B57" s="9">
        <v>0</v>
      </c>
      <c r="C57" s="59">
        <f>+B57/B55</f>
        <v>0</v>
      </c>
      <c r="D57" s="357">
        <f>+resumen!B14</f>
        <v>0</v>
      </c>
      <c r="E57" s="59">
        <f>+D57/D55</f>
        <v>0</v>
      </c>
      <c r="F57" s="19">
        <f t="shared" si="3"/>
        <v>0</v>
      </c>
      <c r="G57" s="19"/>
      <c r="H57" s="17" t="s">
        <v>648</v>
      </c>
      <c r="I57" s="19">
        <v>1179100.74</v>
      </c>
      <c r="J57" s="20">
        <f>I57/I71</f>
        <v>0.010966080463836755</v>
      </c>
      <c r="K57" s="357">
        <f>+resumen!F14</f>
        <v>2254640</v>
      </c>
      <c r="L57" s="20">
        <f>K57/K71</f>
        <v>0.02060213685991634</v>
      </c>
      <c r="M57" s="29">
        <f t="shared" si="4"/>
        <v>1075539.26</v>
      </c>
    </row>
    <row r="58" spans="1:12" ht="12.75">
      <c r="A58" s="48" t="s">
        <v>26</v>
      </c>
      <c r="B58" s="9">
        <v>102010.64</v>
      </c>
      <c r="C58" s="59">
        <f>+B58/B55</f>
        <v>0.00389889155006092</v>
      </c>
      <c r="D58" s="357">
        <f>+resumen!B15</f>
        <v>1378080</v>
      </c>
      <c r="E58" s="59">
        <f>+D58/D55</f>
        <v>0.04345451541252906</v>
      </c>
      <c r="F58" s="19">
        <f t="shared" si="3"/>
        <v>1276069.36</v>
      </c>
      <c r="G58" s="19"/>
      <c r="H58" s="17" t="s">
        <v>403</v>
      </c>
      <c r="I58" s="19">
        <f>4000723.85-1179100.74</f>
        <v>2821623.1100000003</v>
      </c>
      <c r="J58" s="20"/>
      <c r="K58" s="19"/>
      <c r="L58" s="20"/>
    </row>
    <row r="59" spans="1:13" ht="12.75">
      <c r="A59" s="33" t="s">
        <v>540</v>
      </c>
      <c r="B59" s="41">
        <f>SUM(B60:B61)</f>
        <v>23831590.44</v>
      </c>
      <c r="C59" s="58">
        <f>+B59/B50</f>
        <v>0.29872832861602944</v>
      </c>
      <c r="D59" s="158">
        <f>SUM(D60:D61)</f>
        <v>27451750</v>
      </c>
      <c r="E59" s="58">
        <f>+D59/D50</f>
        <v>0.30243520284396563</v>
      </c>
      <c r="F59" s="23">
        <f t="shared" si="3"/>
        <v>3620159.5599999987</v>
      </c>
      <c r="G59" s="17"/>
      <c r="H59" s="24" t="s">
        <v>548</v>
      </c>
      <c r="I59" s="25">
        <f>SUM(I61:I64)</f>
        <v>22425168.66</v>
      </c>
      <c r="J59" s="22">
        <f>I59/I71</f>
        <v>0.20856250496515696</v>
      </c>
      <c r="K59" s="359">
        <f>SUM(K61:K64)</f>
        <v>15059850</v>
      </c>
      <c r="L59" s="22">
        <f>K59/K71</f>
        <v>0.13761180977442566</v>
      </c>
      <c r="M59" s="26">
        <f>+K59-I59</f>
        <v>-7365318.66</v>
      </c>
    </row>
    <row r="60" spans="1:12" ht="12.75">
      <c r="A60" s="48" t="s">
        <v>27</v>
      </c>
      <c r="B60" s="9">
        <v>18135100</v>
      </c>
      <c r="C60" s="59">
        <f>+B60/B59</f>
        <v>0.760968935147578</v>
      </c>
      <c r="D60" s="357">
        <f>+resumen!B17</f>
        <v>21029750</v>
      </c>
      <c r="E60" s="59">
        <f>+D60/D59</f>
        <v>0.766062272896992</v>
      </c>
      <c r="F60" s="19">
        <f t="shared" si="3"/>
        <v>2894650</v>
      </c>
      <c r="G60" s="19"/>
      <c r="H60" s="17"/>
      <c r="I60" s="19"/>
      <c r="J60" s="20"/>
      <c r="K60" s="19"/>
      <c r="L60" s="20"/>
    </row>
    <row r="61" spans="1:13" ht="12.75">
      <c r="A61" s="48" t="s">
        <v>823</v>
      </c>
      <c r="B61" s="9">
        <v>5696490.44</v>
      </c>
      <c r="C61" s="59">
        <f>+B61/B59</f>
        <v>0.239031064852422</v>
      </c>
      <c r="D61" s="357">
        <f>+resumen!B18</f>
        <v>6422000</v>
      </c>
      <c r="E61" s="59">
        <f>+D61/D59</f>
        <v>0.233937727103008</v>
      </c>
      <c r="F61" s="19">
        <f t="shared" si="3"/>
        <v>725509.5599999996</v>
      </c>
      <c r="G61" s="17"/>
      <c r="H61" s="17" t="s">
        <v>649</v>
      </c>
      <c r="I61" s="19">
        <v>2920070</v>
      </c>
      <c r="J61" s="20">
        <f>I61/I71</f>
        <v>0.02715774954058276</v>
      </c>
      <c r="K61" s="357">
        <f>+resumen!F16</f>
        <v>3391120</v>
      </c>
      <c r="L61" s="20">
        <f>K61/K71</f>
        <v>0.030986906268140144</v>
      </c>
      <c r="M61" s="29">
        <f>+K61-I61</f>
        <v>471050</v>
      </c>
    </row>
    <row r="62" spans="1:13" ht="12.75">
      <c r="A62" s="48"/>
      <c r="B62" s="9"/>
      <c r="C62" s="59"/>
      <c r="D62" s="59"/>
      <c r="E62" s="59"/>
      <c r="F62" s="19"/>
      <c r="G62" s="19"/>
      <c r="H62" s="17" t="s">
        <v>650</v>
      </c>
      <c r="I62" s="19">
        <v>19065457.2</v>
      </c>
      <c r="J62" s="20">
        <f>I62/I71</f>
        <v>0.1773159244519139</v>
      </c>
      <c r="K62" s="357">
        <f>+resumen!F17</f>
        <v>11668730</v>
      </c>
      <c r="L62" s="20">
        <f>K62/K71</f>
        <v>0.10662490350628552</v>
      </c>
      <c r="M62" s="29">
        <f>+K62-I62</f>
        <v>-7396727.199999999</v>
      </c>
    </row>
    <row r="63" spans="1:13" ht="12.75">
      <c r="A63" s="48"/>
      <c r="B63" s="9"/>
      <c r="C63" s="59"/>
      <c r="D63" s="59"/>
      <c r="E63" s="59"/>
      <c r="F63" s="19"/>
      <c r="G63" s="19"/>
      <c r="H63" s="17" t="s">
        <v>398</v>
      </c>
      <c r="I63" s="19">
        <v>49761.05</v>
      </c>
      <c r="J63" s="20">
        <f>I63/I71</f>
        <v>0.00046279648528165966</v>
      </c>
      <c r="K63" s="357"/>
      <c r="L63" s="20">
        <v>0</v>
      </c>
      <c r="M63" s="29">
        <f>+K63-I63</f>
        <v>-49761.05</v>
      </c>
    </row>
    <row r="64" spans="1:13" ht="12.75">
      <c r="A64" s="57" t="s">
        <v>809</v>
      </c>
      <c r="B64" s="41">
        <f>+SUM(B65:B69)</f>
        <v>14000166.58</v>
      </c>
      <c r="C64" s="58">
        <f>+B64/B71</f>
        <v>0.14929216559057554</v>
      </c>
      <c r="D64" s="158">
        <f>+SUM(D65:D69)</f>
        <v>10083360</v>
      </c>
      <c r="E64" s="58">
        <f>+D64/D71</f>
        <v>0.09998136881039706</v>
      </c>
      <c r="F64" s="23">
        <f>+D64-B64</f>
        <v>-3916806.58</v>
      </c>
      <c r="G64" s="19"/>
      <c r="H64" s="17" t="s">
        <v>651</v>
      </c>
      <c r="I64" s="19">
        <v>389880.41</v>
      </c>
      <c r="J64" s="20">
        <f>I64/I71</f>
        <v>0.0036260344873786303</v>
      </c>
      <c r="K64" s="357">
        <f>+resumen!F18</f>
        <v>0</v>
      </c>
      <c r="L64" s="20">
        <f>K64/K71</f>
        <v>0</v>
      </c>
      <c r="M64" s="29">
        <f>+K64-I64</f>
        <v>-389880.41</v>
      </c>
    </row>
    <row r="65" spans="1:12" ht="12.75">
      <c r="A65" s="48" t="s">
        <v>28</v>
      </c>
      <c r="B65" s="9">
        <v>0</v>
      </c>
      <c r="C65" s="59">
        <f>+B65/B64</f>
        <v>0</v>
      </c>
      <c r="D65" s="357">
        <f>+resumen!B20</f>
        <v>0</v>
      </c>
      <c r="E65" s="59">
        <f>+D65/D64</f>
        <v>0</v>
      </c>
      <c r="F65" s="19">
        <f>+D65-B65</f>
        <v>0</v>
      </c>
      <c r="G65" s="19"/>
      <c r="H65" s="17"/>
      <c r="I65" s="19"/>
      <c r="J65" s="20"/>
      <c r="K65" s="19"/>
      <c r="L65" s="20"/>
    </row>
    <row r="66" spans="1:13" ht="12.75">
      <c r="A66" s="48" t="s">
        <v>826</v>
      </c>
      <c r="B66" s="9">
        <v>1038070</v>
      </c>
      <c r="C66" s="59">
        <f>+B66/B64</f>
        <v>0.07414697489978009</v>
      </c>
      <c r="D66" s="357">
        <f>+resumen!B21</f>
        <v>10560</v>
      </c>
      <c r="E66" s="59">
        <f>+D66/D64</f>
        <v>0.0010472699576331698</v>
      </c>
      <c r="F66" s="19">
        <f>+D66-B66</f>
        <v>-1027510</v>
      </c>
      <c r="G66" s="17"/>
      <c r="H66" s="24" t="s">
        <v>553</v>
      </c>
      <c r="I66" s="25">
        <f>+I68+I69</f>
        <v>5183120</v>
      </c>
      <c r="J66" s="22">
        <f>I66/I71</f>
        <v>0.048204965907935535</v>
      </c>
      <c r="K66" s="359">
        <f>SUM(K68:K69)</f>
        <v>3682780</v>
      </c>
      <c r="L66" s="22">
        <f>K66/K71</f>
        <v>0.03365199658702174</v>
      </c>
      <c r="M66" s="26">
        <f>+K66-I66</f>
        <v>-1500340</v>
      </c>
    </row>
    <row r="67" spans="1:12" ht="12.75">
      <c r="A67" s="48" t="s">
        <v>29</v>
      </c>
      <c r="B67" s="9">
        <v>35858.76</v>
      </c>
      <c r="C67" s="59">
        <f>+B67/B64</f>
        <v>0.0025613095240756773</v>
      </c>
      <c r="D67" s="357">
        <f>+resumen!B22</f>
        <v>0</v>
      </c>
      <c r="E67" s="59">
        <f>+D67/D64</f>
        <v>0</v>
      </c>
      <c r="F67" s="19">
        <f>+D67-B67</f>
        <v>-35858.76</v>
      </c>
      <c r="G67" s="19"/>
      <c r="H67" s="17"/>
      <c r="I67" s="19"/>
      <c r="J67" s="20"/>
      <c r="K67" s="19"/>
      <c r="L67" s="20"/>
    </row>
    <row r="68" spans="1:13" ht="12.75">
      <c r="A68" s="48" t="s">
        <v>827</v>
      </c>
      <c r="B68" s="9">
        <v>0</v>
      </c>
      <c r="C68" s="59">
        <f>+B68/$B$24</f>
        <v>0</v>
      </c>
      <c r="D68" s="357">
        <f>+resumen!B23</f>
        <v>0</v>
      </c>
      <c r="E68" s="59">
        <f>+D68/$D$24</f>
        <v>0</v>
      </c>
      <c r="F68" s="19">
        <f>+D68-B68</f>
        <v>0</v>
      </c>
      <c r="G68" s="17"/>
      <c r="H68" s="17" t="s">
        <v>45</v>
      </c>
      <c r="I68" s="19">
        <v>1381470</v>
      </c>
      <c r="J68" s="20">
        <f>I68/I71</f>
        <v>0.012848190713862635</v>
      </c>
      <c r="K68" s="357">
        <f>+resumen!F20</f>
        <v>1546030</v>
      </c>
      <c r="L68" s="20">
        <f>+K68/K71</f>
        <v>0.014127098627513244</v>
      </c>
      <c r="M68" s="29">
        <f>+K68-I68</f>
        <v>164560</v>
      </c>
    </row>
    <row r="69" spans="1:13" ht="12.75">
      <c r="A69" s="48" t="s">
        <v>127</v>
      </c>
      <c r="B69" s="9">
        <v>12926237.82</v>
      </c>
      <c r="C69" s="59">
        <f>+B69/$B$24</f>
        <v>1.1607144988496783</v>
      </c>
      <c r="D69" s="357">
        <f>+resumen!B24</f>
        <v>10072800</v>
      </c>
      <c r="E69" s="59">
        <f>+D69/$D$24</f>
        <v>0.9989527300423668</v>
      </c>
      <c r="F69" s="19"/>
      <c r="G69" s="19"/>
      <c r="H69" s="17" t="s">
        <v>46</v>
      </c>
      <c r="I69" s="19">
        <v>3801650</v>
      </c>
      <c r="J69" s="20">
        <f>I69/I71</f>
        <v>0.0353567751940729</v>
      </c>
      <c r="K69" s="357">
        <f>+resumen!F21</f>
        <v>2136750</v>
      </c>
      <c r="L69" s="20">
        <f>K69/K71</f>
        <v>0.019524897959508496</v>
      </c>
      <c r="M69" s="29">
        <f>+K69-I69</f>
        <v>-1664900</v>
      </c>
    </row>
    <row r="70" spans="1:12" ht="13.5" thickBot="1">
      <c r="A70" s="48"/>
      <c r="B70" s="9"/>
      <c r="C70" s="59"/>
      <c r="D70" s="358"/>
      <c r="E70" s="59"/>
      <c r="F70" s="19"/>
      <c r="G70" s="17"/>
      <c r="H70" s="17"/>
      <c r="I70" s="19"/>
      <c r="J70" s="20"/>
      <c r="K70" s="19"/>
      <c r="L70" s="20"/>
    </row>
    <row r="71" spans="1:13" ht="13.5" thickBot="1">
      <c r="A71" s="33" t="s">
        <v>552</v>
      </c>
      <c r="B71" s="41">
        <f>+B50+B64</f>
        <v>93776967.63</v>
      </c>
      <c r="C71" s="58">
        <f>+B71/B78</f>
        <v>0.8721610748576728</v>
      </c>
      <c r="D71" s="158">
        <f>+D50+D64</f>
        <v>100852390</v>
      </c>
      <c r="E71" s="58">
        <f>+D71/D78</f>
        <v>0.9214012473311973</v>
      </c>
      <c r="F71" s="23">
        <f aca="true" t="shared" si="5" ref="F71:F78">+D71-B71</f>
        <v>7075422.370000005</v>
      </c>
      <c r="G71" s="19"/>
      <c r="H71" s="24" t="s">
        <v>561</v>
      </c>
      <c r="I71" s="360">
        <f>I50+I59+I66</f>
        <v>107522532.22</v>
      </c>
      <c r="J71" s="243">
        <f>I71/I71</f>
        <v>1</v>
      </c>
      <c r="K71" s="360">
        <f>K50+K59+K66</f>
        <v>109437191.653</v>
      </c>
      <c r="L71" s="243">
        <f>K71/K71</f>
        <v>1</v>
      </c>
      <c r="M71" s="360">
        <f>+K71-I71</f>
        <v>1914659.4329999983</v>
      </c>
    </row>
    <row r="72" spans="1:12" ht="12.75">
      <c r="A72" s="33" t="s">
        <v>634</v>
      </c>
      <c r="B72" s="41">
        <f>SUM(B73:B77)</f>
        <v>13745565</v>
      </c>
      <c r="C72" s="58">
        <f>+B72/B78</f>
        <v>0.12783892514232717</v>
      </c>
      <c r="D72" s="158">
        <f>SUM(D73:D77)</f>
        <v>8603062</v>
      </c>
      <c r="E72" s="58">
        <f>+D72/D78</f>
        <v>0.07859875266880265</v>
      </c>
      <c r="F72" s="23">
        <f t="shared" si="5"/>
        <v>-5142503</v>
      </c>
      <c r="G72" s="19"/>
      <c r="H72" s="17"/>
      <c r="I72" s="19"/>
      <c r="J72" s="20"/>
      <c r="K72" s="19"/>
      <c r="L72" s="20"/>
    </row>
    <row r="73" spans="1:12" ht="12.75">
      <c r="A73" s="48" t="s">
        <v>562</v>
      </c>
      <c r="B73" s="9">
        <v>10613860</v>
      </c>
      <c r="C73" s="59">
        <f>+B73/B72</f>
        <v>0.7721661495907953</v>
      </c>
      <c r="D73" s="357">
        <f>+resumen!B27</f>
        <v>4136750</v>
      </c>
      <c r="E73" s="59">
        <f>+D73/D72</f>
        <v>0.48084623823471223</v>
      </c>
      <c r="F73" s="19">
        <f t="shared" si="5"/>
        <v>-6477110</v>
      </c>
      <c r="G73" s="19"/>
      <c r="H73" s="17"/>
      <c r="I73" s="19"/>
      <c r="J73" s="20"/>
      <c r="K73" s="19"/>
      <c r="L73" s="20"/>
    </row>
    <row r="74" spans="1:12" ht="12.75">
      <c r="A74" s="48" t="s">
        <v>560</v>
      </c>
      <c r="B74" s="9">
        <v>262340</v>
      </c>
      <c r="C74" s="59">
        <f>+B74/B72</f>
        <v>0.019085428645530395</v>
      </c>
      <c r="D74" s="357">
        <f>+D34</f>
        <v>0</v>
      </c>
      <c r="E74" s="59">
        <f>+D74/D72</f>
        <v>0</v>
      </c>
      <c r="F74" s="19">
        <f t="shared" si="5"/>
        <v>-262340</v>
      </c>
      <c r="G74" s="19"/>
      <c r="H74" s="17"/>
      <c r="I74" s="31">
        <v>2007</v>
      </c>
      <c r="J74" s="20"/>
      <c r="K74" s="31">
        <v>2008</v>
      </c>
      <c r="L74" s="20"/>
    </row>
    <row r="75" spans="1:13" ht="12.75">
      <c r="A75" s="48" t="s">
        <v>828</v>
      </c>
      <c r="B75" s="9">
        <v>0</v>
      </c>
      <c r="C75" s="59">
        <f>+B75/B72</f>
        <v>0</v>
      </c>
      <c r="D75" s="357">
        <f>+D35</f>
        <v>0</v>
      </c>
      <c r="E75" s="59">
        <f>+D75/D72</f>
        <v>0</v>
      </c>
      <c r="F75" s="19">
        <f t="shared" si="5"/>
        <v>0</v>
      </c>
      <c r="G75" s="17"/>
      <c r="H75" s="30" t="s">
        <v>563</v>
      </c>
      <c r="I75" s="31" t="s">
        <v>537</v>
      </c>
      <c r="J75" s="32"/>
      <c r="K75" s="31" t="s">
        <v>537</v>
      </c>
      <c r="L75" s="20"/>
      <c r="M75" s="31" t="s">
        <v>55</v>
      </c>
    </row>
    <row r="76" spans="1:13" ht="12.75">
      <c r="A76" s="48" t="s">
        <v>829</v>
      </c>
      <c r="B76" s="9">
        <v>2869365</v>
      </c>
      <c r="C76" s="59">
        <f>+B76/B72</f>
        <v>0.2087484217636743</v>
      </c>
      <c r="D76" s="357">
        <f>+D36</f>
        <v>4466312</v>
      </c>
      <c r="E76" s="59">
        <f>+D76/D72</f>
        <v>0.5191537617652877</v>
      </c>
      <c r="F76" s="19">
        <f t="shared" si="5"/>
        <v>1596947</v>
      </c>
      <c r="G76" s="23"/>
      <c r="H76" s="17" t="s">
        <v>564</v>
      </c>
      <c r="I76" s="19">
        <f>+B78</f>
        <v>107522532.63</v>
      </c>
      <c r="J76" s="20"/>
      <c r="K76" s="19">
        <f>+D78</f>
        <v>109455452</v>
      </c>
      <c r="L76" s="20"/>
      <c r="M76" s="23">
        <f>+K76-I76</f>
        <v>1932919.3700000048</v>
      </c>
    </row>
    <row r="77" spans="1:13" ht="13.5" thickBot="1">
      <c r="A77" s="48" t="s">
        <v>830</v>
      </c>
      <c r="B77" s="9">
        <v>0</v>
      </c>
      <c r="C77" s="59">
        <f>+B77/B72</f>
        <v>0</v>
      </c>
      <c r="D77" s="357">
        <f>+resumen!B31</f>
        <v>0</v>
      </c>
      <c r="E77" s="59">
        <f>+D77/D72</f>
        <v>0</v>
      </c>
      <c r="F77" s="19">
        <f t="shared" si="5"/>
        <v>0</v>
      </c>
      <c r="H77" s="17" t="s">
        <v>565</v>
      </c>
      <c r="I77" s="19">
        <f>I71</f>
        <v>107522532.22</v>
      </c>
      <c r="J77" s="17"/>
      <c r="K77" s="19">
        <f>K71</f>
        <v>109437191.653</v>
      </c>
      <c r="L77" s="17"/>
      <c r="M77" s="23">
        <f>+K77-I77</f>
        <v>1914659.4329999983</v>
      </c>
    </row>
    <row r="78" spans="1:13" ht="13.5" thickBot="1">
      <c r="A78" s="57" t="s">
        <v>566</v>
      </c>
      <c r="B78" s="360">
        <f>+B71+B72</f>
        <v>107522532.63</v>
      </c>
      <c r="C78" s="243">
        <f>+C72+C71</f>
        <v>1</v>
      </c>
      <c r="D78" s="360">
        <f>+D71+D72</f>
        <v>109455452</v>
      </c>
      <c r="E78" s="243">
        <f>+E72+E71</f>
        <v>1</v>
      </c>
      <c r="F78" s="360">
        <f t="shared" si="5"/>
        <v>1932919.3700000048</v>
      </c>
      <c r="H78" s="30" t="s">
        <v>567</v>
      </c>
      <c r="I78" s="361">
        <f>I76-I77</f>
        <v>0.4099999964237213</v>
      </c>
      <c r="J78" s="32"/>
      <c r="K78" s="361">
        <f>K76-K77</f>
        <v>18260.34700000286</v>
      </c>
      <c r="L78" s="20"/>
      <c r="M78" s="360">
        <f>+K78-I78</f>
        <v>18259.937000006437</v>
      </c>
    </row>
    <row r="79" spans="1:6" ht="12.75">
      <c r="A79" s="17"/>
      <c r="B79" s="19"/>
      <c r="C79" s="20"/>
      <c r="D79" s="19"/>
      <c r="E79" s="20"/>
      <c r="F79" s="17"/>
    </row>
    <row r="80" ht="12.75">
      <c r="M80" s="105"/>
    </row>
  </sheetData>
  <sheetProtection/>
  <mergeCells count="8">
    <mergeCell ref="A44:M44"/>
    <mergeCell ref="A46:M46"/>
    <mergeCell ref="A5:M5"/>
    <mergeCell ref="A45:M45"/>
    <mergeCell ref="A2:M2"/>
    <mergeCell ref="A4:M4"/>
    <mergeCell ref="A6:M6"/>
    <mergeCell ref="A42:M42"/>
  </mergeCells>
  <printOptions horizontalCentered="1"/>
  <pageMargins left="0.1968503937007874" right="0.1968503937007874" top="0.7874015748031497" bottom="0.3937007874015748" header="0" footer="0"/>
  <pageSetup horizontalDpi="300" verticalDpi="300" orientation="landscape" paperSize="9" scale="64" r:id="rId1"/>
  <rowBreaks count="1" manualBreakCount="1">
    <brk id="39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C46"/>
  <sheetViews>
    <sheetView zoomScale="75" zoomScaleNormal="75" zoomScalePageLayoutView="0" workbookViewId="0" topLeftCell="A22">
      <selection activeCell="D51" sqref="D51"/>
    </sheetView>
  </sheetViews>
  <sheetFormatPr defaultColWidth="11.421875" defaultRowHeight="12.75"/>
  <cols>
    <col min="1" max="1" width="10.00390625" style="0" customWidth="1"/>
    <col min="2" max="2" width="47.28125" style="0" customWidth="1"/>
    <col min="3" max="3" width="39.7109375" style="0" customWidth="1"/>
  </cols>
  <sheetData>
    <row r="1" spans="1:3" ht="15">
      <c r="A1" s="48">
        <f>+ANEXO7!A1</f>
        <v>0</v>
      </c>
      <c r="B1" s="10"/>
      <c r="C1" s="10"/>
    </row>
    <row r="2" spans="1:3" ht="15">
      <c r="A2" s="48"/>
      <c r="B2" s="10"/>
      <c r="C2" s="10"/>
    </row>
    <row r="3" spans="1:3" ht="15">
      <c r="A3" s="48"/>
      <c r="B3" s="10"/>
      <c r="C3" s="10"/>
    </row>
    <row r="4" spans="1:3" ht="15">
      <c r="A4" s="48"/>
      <c r="B4" s="10"/>
      <c r="C4" s="10"/>
    </row>
    <row r="5" spans="1:3" ht="15">
      <c r="A5" s="54"/>
      <c r="B5" s="10"/>
      <c r="C5" s="10"/>
    </row>
    <row r="6" spans="1:3" ht="15.75">
      <c r="A6" s="787" t="s">
        <v>382</v>
      </c>
      <c r="B6" s="787"/>
      <c r="C6" s="787"/>
    </row>
    <row r="7" spans="1:3" ht="15.75">
      <c r="A7" s="76"/>
      <c r="B7" s="76"/>
      <c r="C7" s="76"/>
    </row>
    <row r="8" spans="1:3" ht="15.75">
      <c r="A8" s="787" t="s">
        <v>56</v>
      </c>
      <c r="B8" s="787"/>
      <c r="C8" s="787"/>
    </row>
    <row r="9" spans="1:3" ht="15.75">
      <c r="A9" s="76"/>
      <c r="B9" s="76"/>
      <c r="C9" s="76"/>
    </row>
    <row r="10" spans="1:3" ht="15.75">
      <c r="A10" s="69"/>
      <c r="B10" s="71" t="s">
        <v>72</v>
      </c>
      <c r="C10" s="10"/>
    </row>
    <row r="11" spans="1:3" ht="15.75">
      <c r="A11" s="69"/>
      <c r="B11" s="71"/>
      <c r="C11" s="10"/>
    </row>
    <row r="12" spans="1:3" ht="15.75">
      <c r="A12" s="787" t="s">
        <v>744</v>
      </c>
      <c r="B12" s="787"/>
      <c r="C12" s="787"/>
    </row>
    <row r="13" spans="1:3" ht="15.75">
      <c r="A13" s="76"/>
      <c r="B13" s="76"/>
      <c r="C13" s="76"/>
    </row>
    <row r="14" spans="1:3" ht="15.75">
      <c r="A14" s="787" t="s">
        <v>710</v>
      </c>
      <c r="B14" s="787"/>
      <c r="C14" s="787"/>
    </row>
    <row r="15" spans="1:3" ht="15.75">
      <c r="A15" s="76"/>
      <c r="B15" s="76"/>
      <c r="C15" s="76"/>
    </row>
    <row r="16" spans="1:3" ht="15.75">
      <c r="A16" s="787" t="s">
        <v>1103</v>
      </c>
      <c r="B16" s="787"/>
      <c r="C16" s="787"/>
    </row>
    <row r="17" spans="1:3" ht="15.75">
      <c r="A17" s="76"/>
      <c r="B17" s="76"/>
      <c r="C17" s="76"/>
    </row>
    <row r="18" spans="1:3" ht="15.75">
      <c r="A18" s="76"/>
      <c r="B18" s="76"/>
      <c r="C18" s="76"/>
    </row>
    <row r="19" ht="13.5" thickBot="1"/>
    <row r="20" spans="1:3" ht="16.5" thickBot="1">
      <c r="A20" s="362" t="s">
        <v>743</v>
      </c>
      <c r="B20" s="362" t="s">
        <v>744</v>
      </c>
      <c r="C20" s="295"/>
    </row>
    <row r="21" spans="1:3" s="371" customFormat="1" ht="15">
      <c r="A21" s="10"/>
      <c r="B21" s="10"/>
      <c r="C21" s="375"/>
    </row>
    <row r="22" spans="1:3" ht="15">
      <c r="A22" s="372">
        <v>69</v>
      </c>
      <c r="B22" s="373" t="s">
        <v>57</v>
      </c>
      <c r="C22" s="374" t="s">
        <v>59</v>
      </c>
    </row>
    <row r="23" spans="1:3" ht="15">
      <c r="A23" s="363">
        <v>66</v>
      </c>
      <c r="B23" s="364" t="s">
        <v>745</v>
      </c>
      <c r="C23" s="365" t="s">
        <v>58</v>
      </c>
    </row>
    <row r="24" spans="1:3" ht="15">
      <c r="A24" s="363">
        <v>50</v>
      </c>
      <c r="B24" s="364" t="s">
        <v>746</v>
      </c>
      <c r="C24" s="365" t="s">
        <v>60</v>
      </c>
    </row>
    <row r="25" spans="1:3" ht="15">
      <c r="A25" s="363">
        <v>51</v>
      </c>
      <c r="B25" s="364" t="s">
        <v>747</v>
      </c>
      <c r="C25" s="365" t="s">
        <v>61</v>
      </c>
    </row>
    <row r="26" spans="1:3" ht="15">
      <c r="A26" s="363">
        <v>52</v>
      </c>
      <c r="B26" s="364" t="s">
        <v>748</v>
      </c>
      <c r="C26" s="365" t="s">
        <v>62</v>
      </c>
    </row>
    <row r="27" spans="1:3" ht="15">
      <c r="A27" s="363">
        <v>53</v>
      </c>
      <c r="B27" s="364" t="s">
        <v>749</v>
      </c>
      <c r="C27" s="365" t="s">
        <v>63</v>
      </c>
    </row>
    <row r="28" spans="1:3" ht="15">
      <c r="A28" s="366">
        <v>54</v>
      </c>
      <c r="B28" s="367" t="s">
        <v>750</v>
      </c>
      <c r="C28" s="368" t="s">
        <v>64</v>
      </c>
    </row>
    <row r="29" spans="1:3" s="371" customFormat="1" ht="15.75" thickBot="1">
      <c r="A29" s="369"/>
      <c r="B29" s="10"/>
      <c r="C29" s="370"/>
    </row>
    <row r="30" spans="1:3" ht="16.5" thickBot="1">
      <c r="A30" s="362"/>
      <c r="B30" s="362" t="s">
        <v>710</v>
      </c>
      <c r="C30" s="295"/>
    </row>
    <row r="31" spans="1:3" s="371" customFormat="1" ht="15">
      <c r="A31" s="10"/>
      <c r="B31" s="10"/>
      <c r="C31" s="375"/>
    </row>
    <row r="32" spans="1:3" ht="15">
      <c r="A32" s="372">
        <v>75</v>
      </c>
      <c r="B32" s="373" t="s">
        <v>751</v>
      </c>
      <c r="C32" s="374" t="s">
        <v>407</v>
      </c>
    </row>
    <row r="33" spans="1:3" ht="15">
      <c r="A33" s="363">
        <v>72</v>
      </c>
      <c r="B33" s="364" t="s">
        <v>752</v>
      </c>
      <c r="C33" s="365" t="s">
        <v>408</v>
      </c>
    </row>
    <row r="34" spans="1:3" ht="15">
      <c r="A34" s="363">
        <v>78</v>
      </c>
      <c r="B34" s="364" t="s">
        <v>1102</v>
      </c>
      <c r="C34" s="365" t="s">
        <v>409</v>
      </c>
    </row>
    <row r="35" spans="1:3" s="371" customFormat="1" ht="15.75" thickBot="1">
      <c r="A35" s="369"/>
      <c r="B35" s="10"/>
      <c r="C35" s="370"/>
    </row>
    <row r="36" spans="1:3" ht="16.5" thickBot="1">
      <c r="A36" s="362"/>
      <c r="B36" s="362" t="s">
        <v>711</v>
      </c>
      <c r="C36" s="295"/>
    </row>
    <row r="37" spans="1:3" s="371" customFormat="1" ht="15">
      <c r="A37" s="10"/>
      <c r="B37" s="10"/>
      <c r="C37" s="375"/>
    </row>
    <row r="38" spans="1:3" ht="15">
      <c r="A38" s="372">
        <v>68</v>
      </c>
      <c r="B38" s="373" t="s">
        <v>67</v>
      </c>
      <c r="C38" s="374" t="s">
        <v>69</v>
      </c>
    </row>
    <row r="39" spans="1:3" ht="15">
      <c r="A39" s="363">
        <v>65</v>
      </c>
      <c r="B39" s="364" t="s">
        <v>758</v>
      </c>
      <c r="C39" s="365" t="s">
        <v>70</v>
      </c>
    </row>
    <row r="40" spans="1:3" ht="15.75" thickBot="1">
      <c r="A40" s="366">
        <v>55</v>
      </c>
      <c r="B40" s="367" t="s">
        <v>759</v>
      </c>
      <c r="C40" s="368" t="s">
        <v>71</v>
      </c>
    </row>
    <row r="41" spans="1:3" ht="15.75" thickBot="1">
      <c r="A41" s="376"/>
      <c r="B41" s="376"/>
      <c r="C41" s="377"/>
    </row>
    <row r="43" ht="12.75">
      <c r="A43" t="s">
        <v>138</v>
      </c>
    </row>
    <row r="44" ht="12.75">
      <c r="A44" t="s">
        <v>65</v>
      </c>
    </row>
    <row r="45" ht="12.75">
      <c r="A45" t="s">
        <v>66</v>
      </c>
    </row>
    <row r="46" ht="12.75">
      <c r="A46" t="s">
        <v>68</v>
      </c>
    </row>
  </sheetData>
  <sheetProtection password="CF7A" objects="1" scenarios="1"/>
  <mergeCells count="5">
    <mergeCell ref="A16:C16"/>
    <mergeCell ref="A6:C6"/>
    <mergeCell ref="A8:C8"/>
    <mergeCell ref="A12:C12"/>
    <mergeCell ref="A14:C14"/>
  </mergeCells>
  <printOptions/>
  <pageMargins left="1.299212598425197" right="0.2755905511811024" top="0.1968503937007874" bottom="1" header="0" footer="0"/>
  <pageSetup horizontalDpi="600" verticalDpi="600" orientation="portrait" paperSize="9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60" zoomScaleNormal="75" zoomScalePageLayoutView="0" workbookViewId="0" topLeftCell="C10">
      <selection activeCell="E25" sqref="E25"/>
    </sheetView>
  </sheetViews>
  <sheetFormatPr defaultColWidth="14.8515625" defaultRowHeight="12.75"/>
  <cols>
    <col min="1" max="1" width="4.28125" style="95" customWidth="1"/>
    <col min="2" max="2" width="73.7109375" style="95" customWidth="1"/>
    <col min="3" max="3" width="35.8515625" style="95" customWidth="1"/>
    <col min="4" max="4" width="56.140625" style="95" customWidth="1"/>
    <col min="5" max="5" width="40.00390625" style="95" customWidth="1"/>
    <col min="6" max="6" width="17.57421875" style="95" bestFit="1" customWidth="1"/>
    <col min="7" max="16384" width="14.8515625" style="95" customWidth="1"/>
  </cols>
  <sheetData>
    <row r="1" spans="1:5" ht="15">
      <c r="A1" s="92" t="s">
        <v>161</v>
      </c>
      <c r="E1" s="93"/>
    </row>
    <row r="2" spans="1:5" ht="15.75">
      <c r="A2" s="806" t="s">
        <v>382</v>
      </c>
      <c r="B2" s="806"/>
      <c r="C2" s="806"/>
      <c r="D2" s="806"/>
      <c r="E2" s="806"/>
    </row>
    <row r="4" ht="23.25" customHeight="1">
      <c r="A4" s="94" t="s">
        <v>890</v>
      </c>
    </row>
    <row r="5" ht="24.75" customHeight="1">
      <c r="A5" s="94" t="s">
        <v>162</v>
      </c>
    </row>
    <row r="6" ht="15" customHeight="1"/>
    <row r="7" spans="1:6" s="99" customFormat="1" ht="24.75" customHeight="1">
      <c r="A7" s="378" t="s">
        <v>163</v>
      </c>
      <c r="B7" s="378" t="s">
        <v>164</v>
      </c>
      <c r="C7" s="378" t="s">
        <v>165</v>
      </c>
      <c r="D7" s="378" t="s">
        <v>166</v>
      </c>
      <c r="E7" s="378" t="s">
        <v>167</v>
      </c>
      <c r="F7" s="379" t="s">
        <v>362</v>
      </c>
    </row>
    <row r="8" spans="1:6" s="96" customFormat="1" ht="66" customHeight="1">
      <c r="A8" s="380">
        <v>1</v>
      </c>
      <c r="B8" s="381" t="s">
        <v>168</v>
      </c>
      <c r="C8" s="382" t="s">
        <v>378</v>
      </c>
      <c r="D8" s="382" t="s">
        <v>169</v>
      </c>
      <c r="E8" s="382" t="s">
        <v>170</v>
      </c>
      <c r="F8" s="383">
        <f>+D19/D18</f>
        <v>538.852566192217</v>
      </c>
    </row>
    <row r="9" spans="1:6" s="96" customFormat="1" ht="66" customHeight="1">
      <c r="A9" s="380">
        <v>2</v>
      </c>
      <c r="B9" s="380" t="s">
        <v>171</v>
      </c>
      <c r="C9" s="384" t="s">
        <v>377</v>
      </c>
      <c r="D9" s="384" t="s">
        <v>172</v>
      </c>
      <c r="E9" s="382" t="s">
        <v>169</v>
      </c>
      <c r="F9" s="383">
        <f>+D20/D19</f>
        <v>0.5774941678771489</v>
      </c>
    </row>
    <row r="10" spans="1:6" s="96" customFormat="1" ht="66" customHeight="1">
      <c r="A10" s="380">
        <v>3</v>
      </c>
      <c r="B10" s="380" t="s">
        <v>350</v>
      </c>
      <c r="C10" s="384" t="s">
        <v>377</v>
      </c>
      <c r="D10" s="382" t="s">
        <v>351</v>
      </c>
      <c r="E10" s="382" t="s">
        <v>169</v>
      </c>
      <c r="F10" s="383">
        <f>+D21/D19</f>
        <v>0.14491715112028475</v>
      </c>
    </row>
    <row r="11" spans="1:6" s="96" customFormat="1" ht="66" customHeight="1">
      <c r="A11" s="380">
        <v>4</v>
      </c>
      <c r="B11" s="380" t="s">
        <v>352</v>
      </c>
      <c r="C11" s="382" t="s">
        <v>379</v>
      </c>
      <c r="D11" s="382" t="s">
        <v>353</v>
      </c>
      <c r="E11" s="382" t="s">
        <v>170</v>
      </c>
      <c r="F11" s="383">
        <f>+D22/D18</f>
        <v>109.0443597521454</v>
      </c>
    </row>
    <row r="12" spans="1:6" s="96" customFormat="1" ht="66" customHeight="1">
      <c r="A12" s="380">
        <v>5</v>
      </c>
      <c r="B12" s="380" t="s">
        <v>354</v>
      </c>
      <c r="C12" s="382" t="s">
        <v>380</v>
      </c>
      <c r="D12" s="382" t="s">
        <v>353</v>
      </c>
      <c r="E12" s="384" t="s">
        <v>355</v>
      </c>
      <c r="F12" s="383">
        <f>+D22/D24</f>
        <v>0.23168419889471112</v>
      </c>
    </row>
    <row r="13" spans="1:6" s="96" customFormat="1" ht="66" customHeight="1">
      <c r="A13" s="380">
        <v>5</v>
      </c>
      <c r="B13" s="380" t="s">
        <v>356</v>
      </c>
      <c r="C13" s="384" t="s">
        <v>377</v>
      </c>
      <c r="D13" s="384" t="s">
        <v>357</v>
      </c>
      <c r="E13" s="384" t="s">
        <v>355</v>
      </c>
      <c r="F13" s="383">
        <f>+D23/D24</f>
        <v>0.9991795841929786</v>
      </c>
    </row>
    <row r="14" spans="1:6" s="96" customFormat="1" ht="66" customHeight="1">
      <c r="A14" s="380">
        <v>6</v>
      </c>
      <c r="B14" s="380" t="s">
        <v>358</v>
      </c>
      <c r="C14" s="384" t="s">
        <v>377</v>
      </c>
      <c r="D14" s="384" t="s">
        <v>172</v>
      </c>
      <c r="E14" s="384" t="s">
        <v>355</v>
      </c>
      <c r="F14" s="383">
        <f>+D20/D24</f>
        <v>0.6611663874010771</v>
      </c>
    </row>
    <row r="15" spans="1:6" s="96" customFormat="1" ht="66" customHeight="1">
      <c r="A15" s="380">
        <v>7</v>
      </c>
      <c r="B15" s="380" t="s">
        <v>359</v>
      </c>
      <c r="C15" s="384" t="s">
        <v>377</v>
      </c>
      <c r="D15" s="382" t="s">
        <v>360</v>
      </c>
      <c r="E15" s="384" t="s">
        <v>355</v>
      </c>
      <c r="F15" s="383">
        <f>+D26/D24</f>
        <v>0.03723770100881325</v>
      </c>
    </row>
    <row r="16" spans="1:5" ht="19.5" customHeight="1">
      <c r="A16" s="97"/>
      <c r="B16" s="97"/>
      <c r="C16" s="97"/>
      <c r="D16" s="97"/>
      <c r="E16" s="97"/>
    </row>
    <row r="17" spans="1:6" ht="19.5" customHeight="1">
      <c r="A17" s="807" t="s">
        <v>381</v>
      </c>
      <c r="B17" s="807"/>
      <c r="C17" s="807"/>
      <c r="D17" s="97"/>
      <c r="E17" s="97"/>
      <c r="F17" s="97"/>
    </row>
    <row r="18" spans="1:6" ht="21.75" customHeight="1">
      <c r="A18" s="805" t="s">
        <v>414</v>
      </c>
      <c r="B18" s="805"/>
      <c r="C18" s="805"/>
      <c r="D18" s="385">
        <v>192855</v>
      </c>
      <c r="E18" s="97"/>
      <c r="F18" s="97"/>
    </row>
    <row r="19" spans="1:6" ht="21.75" customHeight="1">
      <c r="A19" s="805" t="s">
        <v>169</v>
      </c>
      <c r="B19" s="805"/>
      <c r="C19" s="805"/>
      <c r="D19" s="386">
        <f>+COMPARACION!K11+COMPARACION!K20-COMPARACION!K17</f>
        <v>103920411.653</v>
      </c>
      <c r="E19" s="97"/>
      <c r="F19" s="97"/>
    </row>
    <row r="20" spans="1:6" ht="21.75" customHeight="1">
      <c r="A20" s="805" t="s">
        <v>172</v>
      </c>
      <c r="B20" s="805"/>
      <c r="C20" s="805"/>
      <c r="D20" s="386">
        <f>+COMPARACION!K14</f>
        <v>60013431.653</v>
      </c>
      <c r="E20" s="97"/>
      <c r="F20" s="97"/>
    </row>
    <row r="21" spans="1:6" ht="21.75" customHeight="1">
      <c r="A21" s="805" t="s">
        <v>351</v>
      </c>
      <c r="B21" s="805"/>
      <c r="C21" s="805"/>
      <c r="D21" s="386">
        <f>+COMPARACION!K20</f>
        <v>15059850</v>
      </c>
      <c r="E21" s="97"/>
      <c r="F21" s="97"/>
    </row>
    <row r="22" spans="1:6" ht="21.75" customHeight="1">
      <c r="A22" s="805" t="s">
        <v>353</v>
      </c>
      <c r="B22" s="805"/>
      <c r="C22" s="805"/>
      <c r="D22" s="386">
        <f>+COMPARACION!D21</f>
        <v>21029750</v>
      </c>
      <c r="E22" s="97"/>
      <c r="F22" s="97"/>
    </row>
    <row r="23" spans="1:6" ht="21.75" customHeight="1">
      <c r="A23" s="805" t="s">
        <v>357</v>
      </c>
      <c r="B23" s="805"/>
      <c r="C23" s="805"/>
      <c r="D23" s="386">
        <f>+COMPARACION!K11</f>
        <v>90694561.653</v>
      </c>
      <c r="E23" s="97"/>
      <c r="F23" s="97"/>
    </row>
    <row r="24" spans="1:6" ht="21.75" customHeight="1">
      <c r="A24" s="805" t="s">
        <v>355</v>
      </c>
      <c r="B24" s="805"/>
      <c r="C24" s="805"/>
      <c r="D24" s="386">
        <f>+COMPARACION!D11</f>
        <v>90769030</v>
      </c>
      <c r="E24" s="97"/>
      <c r="F24" s="97"/>
    </row>
    <row r="25" spans="1:6" ht="21.75" customHeight="1">
      <c r="A25" s="805" t="s">
        <v>361</v>
      </c>
      <c r="B25" s="805"/>
      <c r="C25" s="805"/>
      <c r="D25" s="386">
        <f>+COMPARACION!K31</f>
        <v>109437191.653</v>
      </c>
      <c r="E25" s="97"/>
      <c r="F25" s="97"/>
    </row>
    <row r="26" spans="1:6" ht="21.75" customHeight="1">
      <c r="A26" s="805" t="s">
        <v>360</v>
      </c>
      <c r="B26" s="805"/>
      <c r="C26" s="805"/>
      <c r="D26" s="386">
        <f>+COMPARACION!K17+COMPARACION!K28</f>
        <v>3380030</v>
      </c>
      <c r="E26" s="97"/>
      <c r="F26" s="97"/>
    </row>
    <row r="27" spans="4:6" ht="15">
      <c r="D27" s="97"/>
      <c r="E27" s="97"/>
      <c r="F27" s="97"/>
    </row>
    <row r="30" ht="15">
      <c r="E30" s="98"/>
    </row>
    <row r="32" ht="15">
      <c r="E32" s="98"/>
    </row>
  </sheetData>
  <sheetProtection password="CF7A" objects="1" scenarios="1"/>
  <mergeCells count="11">
    <mergeCell ref="A2:E2"/>
    <mergeCell ref="A17:C17"/>
    <mergeCell ref="A18:C18"/>
    <mergeCell ref="A26:C26"/>
    <mergeCell ref="A22:C22"/>
    <mergeCell ref="A23:C23"/>
    <mergeCell ref="A24:C24"/>
    <mergeCell ref="A25:C25"/>
    <mergeCell ref="A19:C19"/>
    <mergeCell ref="A20:C20"/>
    <mergeCell ref="A21:C21"/>
  </mergeCells>
  <printOptions horizontalCentered="1"/>
  <pageMargins left="0.75" right="0.75" top="0.42" bottom="1" header="0" footer="0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3"/>
  <sheetViews>
    <sheetView zoomScaleSheetLayoutView="75" zoomScalePageLayoutView="0" workbookViewId="0" topLeftCell="A63">
      <selection activeCell="A63" sqref="A63"/>
    </sheetView>
  </sheetViews>
  <sheetFormatPr defaultColWidth="11.421875" defaultRowHeight="12.75"/>
  <cols>
    <col min="1" max="1" width="5.7109375" style="48" customWidth="1"/>
    <col min="2" max="2" width="6.8515625" style="48" bestFit="1" customWidth="1"/>
    <col min="3" max="3" width="7.00390625" style="48" bestFit="1" customWidth="1"/>
    <col min="4" max="4" width="9.7109375" style="48" bestFit="1" customWidth="1"/>
    <col min="5" max="5" width="9.140625" style="48" bestFit="1" customWidth="1"/>
    <col min="6" max="6" width="7.00390625" style="48" bestFit="1" customWidth="1"/>
    <col min="7" max="7" width="65.7109375" style="48" bestFit="1" customWidth="1"/>
    <col min="8" max="8" width="13.8515625" style="48" bestFit="1" customWidth="1"/>
    <col min="9" max="9" width="15.421875" style="2" bestFit="1" customWidth="1"/>
    <col min="10" max="10" width="16.7109375" style="0" bestFit="1" customWidth="1"/>
  </cols>
  <sheetData>
    <row r="1" spans="1:8" ht="12.75">
      <c r="A1" s="72"/>
      <c r="B1" s="55"/>
      <c r="G1" s="67" t="s">
        <v>364</v>
      </c>
      <c r="H1" s="67"/>
    </row>
    <row r="2" spans="1:7" ht="15">
      <c r="A2" s="761" t="s">
        <v>382</v>
      </c>
      <c r="B2" s="761"/>
      <c r="C2" s="761"/>
      <c r="D2" s="761"/>
      <c r="E2" s="761"/>
      <c r="F2" s="761"/>
      <c r="G2" s="761"/>
    </row>
    <row r="4" spans="1:7" ht="12.75">
      <c r="A4" s="764" t="s">
        <v>620</v>
      </c>
      <c r="B4" s="764"/>
      <c r="C4" s="764"/>
      <c r="D4" s="764"/>
      <c r="E4" s="764"/>
      <c r="F4" s="764"/>
      <c r="G4" s="764"/>
    </row>
    <row r="5" ht="13.5" thickBot="1"/>
    <row r="6" spans="1:10" ht="13.5" thickBot="1">
      <c r="A6" s="765" t="s">
        <v>621</v>
      </c>
      <c r="B6" s="766"/>
      <c r="C6" s="766"/>
      <c r="D6" s="766"/>
      <c r="E6" s="767"/>
      <c r="F6" s="179"/>
      <c r="G6" s="180" t="s">
        <v>22</v>
      </c>
      <c r="H6" s="182" t="s">
        <v>537</v>
      </c>
      <c r="I6"/>
      <c r="J6" s="2"/>
    </row>
    <row r="7" spans="1:10" ht="13.5" thickBot="1">
      <c r="A7" s="179" t="s">
        <v>622</v>
      </c>
      <c r="B7" s="179" t="s">
        <v>1076</v>
      </c>
      <c r="C7" s="179" t="s">
        <v>623</v>
      </c>
      <c r="D7" s="179" t="s">
        <v>624</v>
      </c>
      <c r="E7" s="179" t="s">
        <v>625</v>
      </c>
      <c r="F7" s="179" t="s">
        <v>626</v>
      </c>
      <c r="G7" s="181"/>
      <c r="H7" s="183" t="s">
        <v>627</v>
      </c>
      <c r="I7"/>
      <c r="J7" s="2"/>
    </row>
    <row r="8" spans="1:10" ht="15" customHeight="1">
      <c r="A8" s="187">
        <v>1</v>
      </c>
      <c r="B8" s="188"/>
      <c r="C8" s="188"/>
      <c r="D8" s="188"/>
      <c r="E8" s="188"/>
      <c r="F8" s="188"/>
      <c r="G8" s="189" t="s">
        <v>763</v>
      </c>
      <c r="H8" s="190">
        <f>+H9+H44+H51</f>
        <v>90769030</v>
      </c>
      <c r="I8"/>
      <c r="J8" s="2"/>
    </row>
    <row r="9" spans="1:10" ht="15" customHeight="1">
      <c r="A9" s="191">
        <v>1</v>
      </c>
      <c r="B9" s="192">
        <v>1</v>
      </c>
      <c r="C9" s="193"/>
      <c r="D9" s="193"/>
      <c r="E9" s="193"/>
      <c r="F9" s="193"/>
      <c r="G9" s="194" t="s">
        <v>783</v>
      </c>
      <c r="H9" s="195">
        <f>+H10+H22</f>
        <v>31604120</v>
      </c>
      <c r="I9"/>
      <c r="J9" s="2"/>
    </row>
    <row r="10" spans="1:10" ht="15" customHeight="1">
      <c r="A10" s="191">
        <v>1</v>
      </c>
      <c r="B10" s="192">
        <v>1</v>
      </c>
      <c r="C10" s="192">
        <v>1</v>
      </c>
      <c r="D10" s="193"/>
      <c r="E10" s="193"/>
      <c r="F10" s="193"/>
      <c r="G10" s="194" t="s">
        <v>784</v>
      </c>
      <c r="H10" s="195">
        <f>+H11</f>
        <v>31604120</v>
      </c>
      <c r="I10"/>
      <c r="J10" s="2"/>
    </row>
    <row r="11" spans="1:10" ht="15" customHeight="1">
      <c r="A11" s="196">
        <v>1</v>
      </c>
      <c r="B11" s="193">
        <v>1</v>
      </c>
      <c r="C11" s="193">
        <v>1</v>
      </c>
      <c r="D11" s="197" t="s">
        <v>666</v>
      </c>
      <c r="E11" s="197"/>
      <c r="F11" s="197"/>
      <c r="G11" s="198" t="s">
        <v>785</v>
      </c>
      <c r="H11" s="199">
        <f>+SUM(H12:H21)</f>
        <v>31604120</v>
      </c>
      <c r="I11"/>
      <c r="J11" s="2"/>
    </row>
    <row r="12" spans="1:10" ht="15" customHeight="1">
      <c r="A12" s="196">
        <v>1</v>
      </c>
      <c r="B12" s="193">
        <v>1</v>
      </c>
      <c r="C12" s="193">
        <v>1</v>
      </c>
      <c r="D12" s="197" t="s">
        <v>666</v>
      </c>
      <c r="E12" s="197" t="s">
        <v>666</v>
      </c>
      <c r="F12" s="197"/>
      <c r="G12" s="200" t="s">
        <v>1104</v>
      </c>
      <c r="H12" s="201">
        <f>12177590+100000</f>
        <v>12277590</v>
      </c>
      <c r="I12" s="1"/>
      <c r="J12" s="2"/>
    </row>
    <row r="13" spans="1:10" ht="15" customHeight="1">
      <c r="A13" s="196">
        <v>1</v>
      </c>
      <c r="B13" s="193">
        <v>1</v>
      </c>
      <c r="C13" s="193">
        <v>1</v>
      </c>
      <c r="D13" s="197" t="s">
        <v>666</v>
      </c>
      <c r="E13" s="197" t="s">
        <v>668</v>
      </c>
      <c r="F13" s="197"/>
      <c r="G13" s="200" t="s">
        <v>786</v>
      </c>
      <c r="H13" s="201">
        <f>1826640+100000</f>
        <v>1926640</v>
      </c>
      <c r="I13"/>
      <c r="J13" s="2"/>
    </row>
    <row r="14" spans="1:10" ht="15" customHeight="1">
      <c r="A14" s="196">
        <v>1</v>
      </c>
      <c r="B14" s="193">
        <v>1</v>
      </c>
      <c r="C14" s="193">
        <v>1</v>
      </c>
      <c r="D14" s="197" t="s">
        <v>666</v>
      </c>
      <c r="E14" s="197" t="s">
        <v>670</v>
      </c>
      <c r="F14" s="197"/>
      <c r="G14" s="200" t="s">
        <v>1105</v>
      </c>
      <c r="H14" s="201">
        <f>14613100+200000</f>
        <v>14813100</v>
      </c>
      <c r="I14"/>
      <c r="J14" s="2"/>
    </row>
    <row r="15" spans="1:10" ht="15" customHeight="1">
      <c r="A15" s="196">
        <v>1</v>
      </c>
      <c r="B15" s="193">
        <v>1</v>
      </c>
      <c r="C15" s="193">
        <v>1</v>
      </c>
      <c r="D15" s="197" t="s">
        <v>666</v>
      </c>
      <c r="E15" s="197" t="s">
        <v>672</v>
      </c>
      <c r="F15" s="197"/>
      <c r="G15" s="200" t="s">
        <v>1106</v>
      </c>
      <c r="H15" s="201">
        <f>2435520+100000</f>
        <v>2535520</v>
      </c>
      <c r="I15"/>
      <c r="J15" s="2"/>
    </row>
    <row r="16" spans="1:10" ht="15" customHeight="1">
      <c r="A16" s="196">
        <v>1</v>
      </c>
      <c r="B16" s="193">
        <v>1</v>
      </c>
      <c r="C16" s="193">
        <v>1</v>
      </c>
      <c r="D16" s="197" t="s">
        <v>666</v>
      </c>
      <c r="E16" s="197" t="s">
        <v>673</v>
      </c>
      <c r="F16" s="197"/>
      <c r="G16" s="200" t="s">
        <v>16</v>
      </c>
      <c r="H16" s="201">
        <v>0</v>
      </c>
      <c r="I16"/>
      <c r="J16" s="2"/>
    </row>
    <row r="17" spans="1:10" ht="15" customHeight="1">
      <c r="A17" s="196">
        <v>1</v>
      </c>
      <c r="B17" s="193">
        <v>1</v>
      </c>
      <c r="C17" s="193">
        <v>1</v>
      </c>
      <c r="D17" s="197" t="s">
        <v>666</v>
      </c>
      <c r="E17" s="197" t="s">
        <v>675</v>
      </c>
      <c r="F17" s="197"/>
      <c r="G17" s="200" t="s">
        <v>787</v>
      </c>
      <c r="H17" s="201">
        <v>0</v>
      </c>
      <c r="I17"/>
      <c r="J17" s="2"/>
    </row>
    <row r="18" spans="1:10" ht="15" customHeight="1">
      <c r="A18" s="196">
        <v>1</v>
      </c>
      <c r="B18" s="193">
        <v>1</v>
      </c>
      <c r="C18" s="193">
        <v>1</v>
      </c>
      <c r="D18" s="197" t="s">
        <v>666</v>
      </c>
      <c r="E18" s="197" t="s">
        <v>677</v>
      </c>
      <c r="F18" s="197"/>
      <c r="G18" s="200" t="s">
        <v>17</v>
      </c>
      <c r="H18" s="201">
        <v>0</v>
      </c>
      <c r="I18"/>
      <c r="J18" s="2"/>
    </row>
    <row r="19" spans="1:10" ht="15" customHeight="1">
      <c r="A19" s="196">
        <v>1</v>
      </c>
      <c r="B19" s="193">
        <v>1</v>
      </c>
      <c r="C19" s="193">
        <v>1</v>
      </c>
      <c r="D19" s="197" t="s">
        <v>666</v>
      </c>
      <c r="E19" s="197" t="s">
        <v>679</v>
      </c>
      <c r="F19" s="197"/>
      <c r="G19" s="200" t="s">
        <v>788</v>
      </c>
      <c r="H19" s="201">
        <v>51270</v>
      </c>
      <c r="I19"/>
      <c r="J19" s="2"/>
    </row>
    <row r="20" spans="1:10" ht="15" customHeight="1">
      <c r="A20" s="196"/>
      <c r="B20" s="193">
        <v>1</v>
      </c>
      <c r="C20" s="193">
        <v>1</v>
      </c>
      <c r="D20" s="197" t="s">
        <v>666</v>
      </c>
      <c r="E20" s="197" t="s">
        <v>680</v>
      </c>
      <c r="F20" s="197"/>
      <c r="G20" s="200" t="s">
        <v>789</v>
      </c>
      <c r="H20" s="201">
        <v>0</v>
      </c>
      <c r="I20"/>
      <c r="J20" s="2"/>
    </row>
    <row r="21" spans="1:11" ht="15" customHeight="1">
      <c r="A21" s="196">
        <v>1</v>
      </c>
      <c r="B21" s="193">
        <v>1</v>
      </c>
      <c r="C21" s="193">
        <v>1</v>
      </c>
      <c r="D21" s="197" t="s">
        <v>666</v>
      </c>
      <c r="E21" s="197" t="s">
        <v>681</v>
      </c>
      <c r="F21" s="197"/>
      <c r="G21" s="200" t="s">
        <v>790</v>
      </c>
      <c r="H21" s="201">
        <v>0</v>
      </c>
      <c r="I21" s="1"/>
      <c r="J21" s="2"/>
      <c r="K21" s="70"/>
    </row>
    <row r="22" spans="1:10" ht="15" customHeight="1">
      <c r="A22" s="191">
        <v>1</v>
      </c>
      <c r="B22" s="192">
        <v>1</v>
      </c>
      <c r="C22" s="192">
        <v>3</v>
      </c>
      <c r="D22" s="197"/>
      <c r="E22" s="197"/>
      <c r="F22" s="197"/>
      <c r="G22" s="194" t="s">
        <v>791</v>
      </c>
      <c r="H22" s="195">
        <f>+H23</f>
        <v>0</v>
      </c>
      <c r="I22" s="1"/>
      <c r="J22" s="2"/>
    </row>
    <row r="23" spans="1:10" ht="15" customHeight="1">
      <c r="A23" s="196">
        <v>1</v>
      </c>
      <c r="B23" s="193">
        <v>1</v>
      </c>
      <c r="C23" s="193">
        <v>3</v>
      </c>
      <c r="D23" s="197" t="s">
        <v>666</v>
      </c>
      <c r="E23" s="197"/>
      <c r="F23" s="197"/>
      <c r="G23" s="198" t="s">
        <v>792</v>
      </c>
      <c r="H23" s="199">
        <f>+H24+H35+H36+H37+H38+H40</f>
        <v>0</v>
      </c>
      <c r="I23" s="1"/>
      <c r="J23" s="2"/>
    </row>
    <row r="24" spans="1:10" ht="15" customHeight="1">
      <c r="A24" s="196">
        <v>1</v>
      </c>
      <c r="B24" s="193">
        <v>1</v>
      </c>
      <c r="C24" s="193">
        <v>3</v>
      </c>
      <c r="D24" s="197" t="s">
        <v>666</v>
      </c>
      <c r="E24" s="197" t="s">
        <v>666</v>
      </c>
      <c r="F24" s="197"/>
      <c r="G24" s="200" t="s">
        <v>1107</v>
      </c>
      <c r="H24" s="201">
        <f>+SUM(H25:H34)</f>
        <v>0</v>
      </c>
      <c r="I24" s="1"/>
      <c r="J24" s="2"/>
    </row>
    <row r="25" spans="1:10" ht="15" customHeight="1">
      <c r="A25" s="196">
        <v>1</v>
      </c>
      <c r="B25" s="193">
        <v>1</v>
      </c>
      <c r="C25" s="193">
        <v>3</v>
      </c>
      <c r="D25" s="197" t="s">
        <v>666</v>
      </c>
      <c r="E25" s="197" t="s">
        <v>666</v>
      </c>
      <c r="F25" s="197" t="s">
        <v>1078</v>
      </c>
      <c r="G25" s="200" t="s">
        <v>1108</v>
      </c>
      <c r="H25" s="201">
        <v>0</v>
      </c>
      <c r="I25" s="1"/>
      <c r="J25" s="2"/>
    </row>
    <row r="26" spans="1:10" ht="15" customHeight="1">
      <c r="A26" s="196">
        <v>1</v>
      </c>
      <c r="B26" s="193">
        <v>1</v>
      </c>
      <c r="C26" s="193">
        <v>3</v>
      </c>
      <c r="D26" s="197" t="s">
        <v>666</v>
      </c>
      <c r="E26" s="197" t="s">
        <v>666</v>
      </c>
      <c r="F26" s="197" t="s">
        <v>1079</v>
      </c>
      <c r="G26" s="200" t="s">
        <v>1109</v>
      </c>
      <c r="H26" s="201">
        <v>0</v>
      </c>
      <c r="I26" s="1"/>
      <c r="J26" s="2"/>
    </row>
    <row r="27" spans="1:10" ht="15" customHeight="1">
      <c r="A27" s="196">
        <v>1</v>
      </c>
      <c r="B27" s="193">
        <v>1</v>
      </c>
      <c r="C27" s="193">
        <v>3</v>
      </c>
      <c r="D27" s="197" t="s">
        <v>666</v>
      </c>
      <c r="E27" s="197" t="s">
        <v>666</v>
      </c>
      <c r="F27" s="197" t="s">
        <v>1080</v>
      </c>
      <c r="G27" s="200" t="s">
        <v>18</v>
      </c>
      <c r="H27" s="201">
        <v>0</v>
      </c>
      <c r="I27" s="1"/>
      <c r="J27" s="2"/>
    </row>
    <row r="28" spans="1:10" ht="15" customHeight="1">
      <c r="A28" s="196">
        <v>1</v>
      </c>
      <c r="B28" s="193">
        <v>1</v>
      </c>
      <c r="C28" s="193">
        <v>3</v>
      </c>
      <c r="D28" s="197" t="s">
        <v>666</v>
      </c>
      <c r="E28" s="197" t="s">
        <v>666</v>
      </c>
      <c r="F28" s="197" t="s">
        <v>1081</v>
      </c>
      <c r="G28" s="200" t="s">
        <v>19</v>
      </c>
      <c r="H28" s="201">
        <v>0</v>
      </c>
      <c r="I28" s="1"/>
      <c r="J28" s="2"/>
    </row>
    <row r="29" spans="1:10" ht="15" customHeight="1">
      <c r="A29" s="196">
        <v>1</v>
      </c>
      <c r="B29" s="193">
        <v>1</v>
      </c>
      <c r="C29" s="193">
        <v>3</v>
      </c>
      <c r="D29" s="197" t="s">
        <v>666</v>
      </c>
      <c r="E29" s="197" t="s">
        <v>666</v>
      </c>
      <c r="F29" s="197" t="s">
        <v>1082</v>
      </c>
      <c r="G29" s="200" t="s">
        <v>1110</v>
      </c>
      <c r="H29" s="201">
        <v>0</v>
      </c>
      <c r="I29" s="1"/>
      <c r="J29" s="2"/>
    </row>
    <row r="30" spans="1:10" ht="15" customHeight="1">
      <c r="A30" s="196">
        <v>1</v>
      </c>
      <c r="B30" s="193">
        <v>1</v>
      </c>
      <c r="C30" s="193">
        <v>3</v>
      </c>
      <c r="D30" s="197" t="s">
        <v>666</v>
      </c>
      <c r="E30" s="197" t="s">
        <v>666</v>
      </c>
      <c r="F30" s="197" t="s">
        <v>1083</v>
      </c>
      <c r="G30" s="200" t="s">
        <v>1111</v>
      </c>
      <c r="H30" s="201">
        <v>0</v>
      </c>
      <c r="I30" s="1"/>
      <c r="J30" s="2"/>
    </row>
    <row r="31" spans="1:10" ht="15" customHeight="1">
      <c r="A31" s="196">
        <v>1</v>
      </c>
      <c r="B31" s="193">
        <v>1</v>
      </c>
      <c r="C31" s="193">
        <v>3</v>
      </c>
      <c r="D31" s="197" t="s">
        <v>666</v>
      </c>
      <c r="E31" s="197" t="s">
        <v>666</v>
      </c>
      <c r="F31" s="197" t="s">
        <v>1084</v>
      </c>
      <c r="G31" s="200" t="s">
        <v>1112</v>
      </c>
      <c r="H31" s="201">
        <v>0</v>
      </c>
      <c r="I31" s="1"/>
      <c r="J31" s="2"/>
    </row>
    <row r="32" spans="1:10" ht="15" customHeight="1">
      <c r="A32" s="196">
        <v>1</v>
      </c>
      <c r="B32" s="193">
        <v>1</v>
      </c>
      <c r="C32" s="193">
        <v>3</v>
      </c>
      <c r="D32" s="197" t="s">
        <v>666</v>
      </c>
      <c r="E32" s="197" t="s">
        <v>666</v>
      </c>
      <c r="F32" s="197" t="s">
        <v>1113</v>
      </c>
      <c r="G32" s="200" t="s">
        <v>1114</v>
      </c>
      <c r="H32" s="201">
        <v>0</v>
      </c>
      <c r="I32" s="1"/>
      <c r="J32" s="2"/>
    </row>
    <row r="33" spans="1:10" ht="15" customHeight="1">
      <c r="A33" s="196">
        <v>1</v>
      </c>
      <c r="B33" s="193">
        <v>1</v>
      </c>
      <c r="C33" s="193">
        <v>3</v>
      </c>
      <c r="D33" s="197" t="s">
        <v>666</v>
      </c>
      <c r="E33" s="197" t="s">
        <v>666</v>
      </c>
      <c r="F33" s="197" t="s">
        <v>1115</v>
      </c>
      <c r="G33" s="200" t="s">
        <v>1116</v>
      </c>
      <c r="H33" s="201">
        <v>0</v>
      </c>
      <c r="I33" s="1"/>
      <c r="J33" s="2"/>
    </row>
    <row r="34" spans="1:10" ht="15" customHeight="1">
      <c r="A34" s="196">
        <v>1</v>
      </c>
      <c r="B34" s="193">
        <v>1</v>
      </c>
      <c r="C34" s="193">
        <v>3</v>
      </c>
      <c r="D34" s="197" t="s">
        <v>666</v>
      </c>
      <c r="E34" s="197" t="s">
        <v>666</v>
      </c>
      <c r="F34" s="197" t="s">
        <v>1117</v>
      </c>
      <c r="G34" s="200" t="s">
        <v>1118</v>
      </c>
      <c r="H34" s="202">
        <v>0</v>
      </c>
      <c r="I34" s="1"/>
      <c r="J34" s="2"/>
    </row>
    <row r="35" spans="1:10" ht="15" customHeight="1">
      <c r="A35" s="196">
        <v>1</v>
      </c>
      <c r="B35" s="193">
        <v>1</v>
      </c>
      <c r="C35" s="193">
        <v>3</v>
      </c>
      <c r="D35" s="197" t="s">
        <v>666</v>
      </c>
      <c r="E35" s="197" t="s">
        <v>668</v>
      </c>
      <c r="F35" s="197"/>
      <c r="G35" s="200" t="s">
        <v>1119</v>
      </c>
      <c r="H35" s="201">
        <v>0</v>
      </c>
      <c r="I35" s="1"/>
      <c r="J35" s="2"/>
    </row>
    <row r="36" spans="1:10" ht="15" customHeight="1">
      <c r="A36" s="196">
        <v>1</v>
      </c>
      <c r="B36" s="193">
        <v>1</v>
      </c>
      <c r="C36" s="193">
        <v>3</v>
      </c>
      <c r="D36" s="197" t="s">
        <v>666</v>
      </c>
      <c r="E36" s="197" t="s">
        <v>670</v>
      </c>
      <c r="F36" s="197"/>
      <c r="G36" s="200" t="s">
        <v>20</v>
      </c>
      <c r="H36" s="201">
        <v>0</v>
      </c>
      <c r="I36" s="1"/>
      <c r="J36" s="2"/>
    </row>
    <row r="37" spans="1:10" ht="15" customHeight="1">
      <c r="A37" s="196">
        <v>1</v>
      </c>
      <c r="B37" s="193">
        <v>1</v>
      </c>
      <c r="C37" s="193">
        <v>3</v>
      </c>
      <c r="D37" s="197" t="s">
        <v>666</v>
      </c>
      <c r="E37" s="197" t="s">
        <v>672</v>
      </c>
      <c r="F37" s="197"/>
      <c r="G37" s="200" t="s">
        <v>793</v>
      </c>
      <c r="H37" s="201">
        <v>0</v>
      </c>
      <c r="I37" s="1"/>
      <c r="J37" s="2"/>
    </row>
    <row r="38" spans="1:10" ht="15" customHeight="1">
      <c r="A38" s="196">
        <v>1</v>
      </c>
      <c r="B38" s="193">
        <v>1</v>
      </c>
      <c r="C38" s="193">
        <v>3</v>
      </c>
      <c r="D38" s="197" t="s">
        <v>666</v>
      </c>
      <c r="E38" s="197" t="s">
        <v>673</v>
      </c>
      <c r="F38" s="197"/>
      <c r="G38" s="200" t="s">
        <v>794</v>
      </c>
      <c r="H38" s="201">
        <f>+H39</f>
        <v>0</v>
      </c>
      <c r="I38" s="1"/>
      <c r="J38" s="2"/>
    </row>
    <row r="39" spans="1:10" ht="15" customHeight="1">
      <c r="A39" s="196">
        <v>1</v>
      </c>
      <c r="B39" s="193">
        <v>1</v>
      </c>
      <c r="C39" s="193">
        <v>3</v>
      </c>
      <c r="D39" s="197" t="s">
        <v>666</v>
      </c>
      <c r="E39" s="197" t="s">
        <v>673</v>
      </c>
      <c r="F39" s="197" t="s">
        <v>1078</v>
      </c>
      <c r="G39" s="200" t="s">
        <v>1120</v>
      </c>
      <c r="H39" s="201">
        <v>0</v>
      </c>
      <c r="I39" s="1"/>
      <c r="J39" s="2"/>
    </row>
    <row r="40" spans="1:10" ht="15" customHeight="1">
      <c r="A40" s="196">
        <v>1</v>
      </c>
      <c r="B40" s="193">
        <v>1</v>
      </c>
      <c r="C40" s="193">
        <v>3</v>
      </c>
      <c r="D40" s="197" t="s">
        <v>666</v>
      </c>
      <c r="E40" s="197" t="s">
        <v>675</v>
      </c>
      <c r="F40" s="197"/>
      <c r="G40" s="200" t="s">
        <v>795</v>
      </c>
      <c r="H40" s="201">
        <v>0</v>
      </c>
      <c r="I40" s="1"/>
      <c r="J40" s="2"/>
    </row>
    <row r="41" spans="1:10" ht="15" customHeight="1">
      <c r="A41" s="196">
        <v>1</v>
      </c>
      <c r="B41" s="193">
        <v>1</v>
      </c>
      <c r="C41" s="193">
        <v>3</v>
      </c>
      <c r="D41" s="197" t="s">
        <v>666</v>
      </c>
      <c r="E41" s="197" t="s">
        <v>675</v>
      </c>
      <c r="F41" s="197" t="s">
        <v>1078</v>
      </c>
      <c r="G41" s="200" t="s">
        <v>1121</v>
      </c>
      <c r="H41" s="201">
        <v>0</v>
      </c>
      <c r="I41"/>
      <c r="J41" s="2"/>
    </row>
    <row r="42" spans="1:10" ht="15" customHeight="1">
      <c r="A42" s="196" t="s">
        <v>898</v>
      </c>
      <c r="B42" s="193" t="s">
        <v>898</v>
      </c>
      <c r="C42" s="193" t="s">
        <v>900</v>
      </c>
      <c r="D42" s="197" t="s">
        <v>666</v>
      </c>
      <c r="E42" s="197" t="s">
        <v>675</v>
      </c>
      <c r="F42" s="197" t="s">
        <v>1079</v>
      </c>
      <c r="G42" s="200" t="s">
        <v>401</v>
      </c>
      <c r="H42" s="201"/>
      <c r="I42"/>
      <c r="J42" s="2"/>
    </row>
    <row r="43" spans="1:10" ht="15" customHeight="1">
      <c r="A43" s="196" t="s">
        <v>898</v>
      </c>
      <c r="B43" s="193" t="s">
        <v>898</v>
      </c>
      <c r="C43" s="193" t="s">
        <v>900</v>
      </c>
      <c r="D43" s="197" t="s">
        <v>666</v>
      </c>
      <c r="E43" s="197" t="s">
        <v>675</v>
      </c>
      <c r="F43" s="197" t="s">
        <v>1080</v>
      </c>
      <c r="G43" s="200" t="s">
        <v>125</v>
      </c>
      <c r="H43" s="201"/>
      <c r="I43"/>
      <c r="J43" s="2"/>
    </row>
    <row r="44" spans="1:10" s="38" customFormat="1" ht="15" customHeight="1">
      <c r="A44" s="191">
        <v>1</v>
      </c>
      <c r="B44" s="192">
        <v>2</v>
      </c>
      <c r="C44" s="192"/>
      <c r="D44" s="203"/>
      <c r="E44" s="203"/>
      <c r="F44" s="203"/>
      <c r="G44" s="194" t="s">
        <v>780</v>
      </c>
      <c r="H44" s="195">
        <f>+H45+H49+H47</f>
        <v>31713160</v>
      </c>
      <c r="J44" s="39"/>
    </row>
    <row r="45" spans="1:10" s="38" customFormat="1" ht="15" customHeight="1">
      <c r="A45" s="191">
        <v>1</v>
      </c>
      <c r="B45" s="192">
        <v>2</v>
      </c>
      <c r="C45" s="192">
        <v>1</v>
      </c>
      <c r="D45" s="197"/>
      <c r="E45" s="197"/>
      <c r="F45" s="197"/>
      <c r="G45" s="194" t="s">
        <v>30</v>
      </c>
      <c r="H45" s="195">
        <f>+H46</f>
        <v>30335080</v>
      </c>
      <c r="J45" s="39"/>
    </row>
    <row r="46" spans="1:10" s="38" customFormat="1" ht="15" customHeight="1">
      <c r="A46" s="196">
        <v>1</v>
      </c>
      <c r="B46" s="193">
        <v>2</v>
      </c>
      <c r="C46" s="193">
        <v>1</v>
      </c>
      <c r="D46" s="197" t="s">
        <v>666</v>
      </c>
      <c r="E46" s="197"/>
      <c r="F46" s="197"/>
      <c r="G46" s="198" t="s">
        <v>781</v>
      </c>
      <c r="H46" s="201">
        <f>29835080+500000</f>
        <v>30335080</v>
      </c>
      <c r="J46" s="39"/>
    </row>
    <row r="47" spans="1:10" s="38" customFormat="1" ht="15" customHeight="1">
      <c r="A47" s="191">
        <v>1</v>
      </c>
      <c r="B47" s="192">
        <v>2</v>
      </c>
      <c r="C47" s="192">
        <v>3</v>
      </c>
      <c r="D47" s="197"/>
      <c r="E47" s="197"/>
      <c r="F47" s="197"/>
      <c r="G47" s="194" t="s">
        <v>782</v>
      </c>
      <c r="H47" s="195">
        <f>+H48</f>
        <v>0</v>
      </c>
      <c r="J47" s="39"/>
    </row>
    <row r="48" spans="1:10" s="38" customFormat="1" ht="15" customHeight="1">
      <c r="A48" s="196">
        <v>1</v>
      </c>
      <c r="B48" s="193">
        <v>2</v>
      </c>
      <c r="C48" s="193">
        <v>3</v>
      </c>
      <c r="D48" s="197" t="s">
        <v>666</v>
      </c>
      <c r="E48" s="197"/>
      <c r="F48" s="197"/>
      <c r="G48" s="198" t="s">
        <v>15</v>
      </c>
      <c r="H48" s="201">
        <v>0</v>
      </c>
      <c r="J48" s="39"/>
    </row>
    <row r="49" spans="1:10" s="38" customFormat="1" ht="15" customHeight="1">
      <c r="A49" s="191">
        <v>1</v>
      </c>
      <c r="B49" s="192">
        <v>2</v>
      </c>
      <c r="C49" s="192">
        <v>4</v>
      </c>
      <c r="D49" s="197"/>
      <c r="E49" s="197"/>
      <c r="F49" s="197"/>
      <c r="G49" s="194" t="s">
        <v>1122</v>
      </c>
      <c r="H49" s="195">
        <f>+H50</f>
        <v>1378080</v>
      </c>
      <c r="J49" s="39"/>
    </row>
    <row r="50" spans="1:10" s="38" customFormat="1" ht="15" customHeight="1">
      <c r="A50" s="196">
        <v>1</v>
      </c>
      <c r="B50" s="193">
        <v>2</v>
      </c>
      <c r="C50" s="193">
        <v>4</v>
      </c>
      <c r="D50" s="197" t="s">
        <v>666</v>
      </c>
      <c r="E50" s="197"/>
      <c r="F50" s="197"/>
      <c r="G50" s="198" t="s">
        <v>792</v>
      </c>
      <c r="H50" s="199">
        <v>1378080</v>
      </c>
      <c r="J50" s="39"/>
    </row>
    <row r="51" spans="1:10" s="38" customFormat="1" ht="15" customHeight="1">
      <c r="A51" s="191">
        <v>1</v>
      </c>
      <c r="B51" s="192">
        <v>3</v>
      </c>
      <c r="C51" s="192"/>
      <c r="D51" s="203"/>
      <c r="E51" s="203"/>
      <c r="F51" s="203"/>
      <c r="G51" s="194" t="s">
        <v>628</v>
      </c>
      <c r="H51" s="195">
        <f>+H52+H86</f>
        <v>27451750</v>
      </c>
      <c r="J51" s="39"/>
    </row>
    <row r="52" spans="1:10" s="38" customFormat="1" ht="15" customHeight="1">
      <c r="A52" s="191">
        <v>1</v>
      </c>
      <c r="B52" s="192">
        <v>3</v>
      </c>
      <c r="C52" s="192">
        <v>2</v>
      </c>
      <c r="D52" s="197"/>
      <c r="E52" s="197"/>
      <c r="F52" s="197"/>
      <c r="G52" s="194" t="s">
        <v>773</v>
      </c>
      <c r="H52" s="195">
        <f>+H53+H57+H60+H70+H71+H72+H74+H73+H75+H76+H78+H82+H83+H110+H111+H112+H84+H85</f>
        <v>21029750</v>
      </c>
      <c r="J52" s="39"/>
    </row>
    <row r="53" spans="1:10" s="38" customFormat="1" ht="15" customHeight="1">
      <c r="A53" s="196">
        <v>1</v>
      </c>
      <c r="B53" s="193">
        <v>3</v>
      </c>
      <c r="C53" s="193">
        <v>2</v>
      </c>
      <c r="D53" s="197" t="s">
        <v>666</v>
      </c>
      <c r="E53" s="197"/>
      <c r="F53" s="197"/>
      <c r="G53" s="198" t="s">
        <v>1123</v>
      </c>
      <c r="H53" s="199">
        <f>+SUM(H54:H56)</f>
        <v>10395760</v>
      </c>
      <c r="J53" s="39"/>
    </row>
    <row r="54" spans="1:10" s="38" customFormat="1" ht="15" customHeight="1">
      <c r="A54" s="196">
        <v>1</v>
      </c>
      <c r="B54" s="193">
        <v>3</v>
      </c>
      <c r="C54" s="193">
        <v>2</v>
      </c>
      <c r="D54" s="197" t="s">
        <v>666</v>
      </c>
      <c r="E54" s="197" t="s">
        <v>666</v>
      </c>
      <c r="F54" s="197"/>
      <c r="G54" s="200" t="s">
        <v>1124</v>
      </c>
      <c r="H54" s="201">
        <v>7359340</v>
      </c>
      <c r="J54" s="39"/>
    </row>
    <row r="55" spans="1:10" s="38" customFormat="1" ht="15" customHeight="1">
      <c r="A55" s="196">
        <v>1</v>
      </c>
      <c r="B55" s="193">
        <v>3</v>
      </c>
      <c r="C55" s="193">
        <v>2</v>
      </c>
      <c r="D55" s="197" t="s">
        <v>666</v>
      </c>
      <c r="E55" s="197" t="s">
        <v>668</v>
      </c>
      <c r="F55" s="197"/>
      <c r="G55" s="200" t="s">
        <v>1125</v>
      </c>
      <c r="H55" s="201">
        <v>1751390</v>
      </c>
      <c r="J55" s="39"/>
    </row>
    <row r="56" spans="1:10" s="38" customFormat="1" ht="15" customHeight="1">
      <c r="A56" s="196">
        <v>1</v>
      </c>
      <c r="B56" s="193">
        <v>3</v>
      </c>
      <c r="C56" s="193">
        <v>2</v>
      </c>
      <c r="D56" s="197" t="s">
        <v>666</v>
      </c>
      <c r="E56" s="197" t="s">
        <v>670</v>
      </c>
      <c r="F56" s="197"/>
      <c r="G56" s="200" t="s">
        <v>630</v>
      </c>
      <c r="H56" s="201">
        <v>1285030</v>
      </c>
      <c r="J56" s="39"/>
    </row>
    <row r="57" spans="1:10" s="38" customFormat="1" ht="15" customHeight="1">
      <c r="A57" s="196">
        <v>1</v>
      </c>
      <c r="B57" s="193">
        <v>3</v>
      </c>
      <c r="C57" s="193">
        <v>2</v>
      </c>
      <c r="D57" s="197" t="s">
        <v>668</v>
      </c>
      <c r="E57" s="197"/>
      <c r="F57" s="197"/>
      <c r="G57" s="198" t="s">
        <v>1126</v>
      </c>
      <c r="H57" s="199">
        <f>+SUM(H58:H59)</f>
        <v>4723230</v>
      </c>
      <c r="J57" s="103"/>
    </row>
    <row r="58" spans="1:10" s="38" customFormat="1" ht="15" customHeight="1">
      <c r="A58" s="196">
        <v>1</v>
      </c>
      <c r="B58" s="193">
        <v>3</v>
      </c>
      <c r="C58" s="193">
        <v>2</v>
      </c>
      <c r="D58" s="197" t="s">
        <v>668</v>
      </c>
      <c r="E58" s="197" t="s">
        <v>666</v>
      </c>
      <c r="F58" s="197"/>
      <c r="G58" s="200" t="s">
        <v>38</v>
      </c>
      <c r="H58" s="201">
        <v>3810280</v>
      </c>
      <c r="J58" s="103"/>
    </row>
    <row r="59" spans="1:10" s="38" customFormat="1" ht="15" customHeight="1">
      <c r="A59" s="196">
        <v>1</v>
      </c>
      <c r="B59" s="193">
        <v>3</v>
      </c>
      <c r="C59" s="193">
        <v>2</v>
      </c>
      <c r="D59" s="197" t="s">
        <v>668</v>
      </c>
      <c r="E59" s="197" t="s">
        <v>668</v>
      </c>
      <c r="F59" s="197"/>
      <c r="G59" s="200" t="s">
        <v>1127</v>
      </c>
      <c r="H59" s="201">
        <v>912950</v>
      </c>
      <c r="J59" s="39"/>
    </row>
    <row r="60" spans="1:10" s="38" customFormat="1" ht="15" customHeight="1">
      <c r="A60" s="196">
        <v>1</v>
      </c>
      <c r="B60" s="193">
        <v>3</v>
      </c>
      <c r="C60" s="193">
        <v>2</v>
      </c>
      <c r="D60" s="197" t="s">
        <v>670</v>
      </c>
      <c r="E60" s="197"/>
      <c r="F60" s="197"/>
      <c r="G60" s="198" t="s">
        <v>766</v>
      </c>
      <c r="H60" s="199">
        <f>+SUM(H61:H62)</f>
        <v>541790</v>
      </c>
      <c r="J60" s="39"/>
    </row>
    <row r="61" spans="1:10" s="38" customFormat="1" ht="15" customHeight="1">
      <c r="A61" s="196">
        <v>1</v>
      </c>
      <c r="B61" s="193">
        <v>3</v>
      </c>
      <c r="C61" s="193">
        <v>2</v>
      </c>
      <c r="D61" s="197" t="s">
        <v>670</v>
      </c>
      <c r="E61" s="197" t="s">
        <v>666</v>
      </c>
      <c r="F61" s="197"/>
      <c r="G61" s="200" t="s">
        <v>1128</v>
      </c>
      <c r="H61" s="201">
        <v>384890</v>
      </c>
      <c r="J61" s="39"/>
    </row>
    <row r="62" spans="1:10" s="38" customFormat="1" ht="15" customHeight="1" thickBot="1">
      <c r="A62" s="204">
        <v>1</v>
      </c>
      <c r="B62" s="205">
        <v>3</v>
      </c>
      <c r="C62" s="205">
        <v>2</v>
      </c>
      <c r="D62" s="206" t="s">
        <v>670</v>
      </c>
      <c r="E62" s="206" t="s">
        <v>668</v>
      </c>
      <c r="F62" s="206"/>
      <c r="G62" s="207" t="s">
        <v>9</v>
      </c>
      <c r="H62" s="208">
        <v>156900</v>
      </c>
      <c r="J62" s="39"/>
    </row>
    <row r="63" spans="1:7" ht="12.75">
      <c r="A63" s="72"/>
      <c r="B63" s="55"/>
      <c r="G63" s="67" t="s">
        <v>364</v>
      </c>
    </row>
    <row r="64" spans="1:7" ht="15">
      <c r="A64" s="761" t="s">
        <v>382</v>
      </c>
      <c r="B64" s="761"/>
      <c r="C64" s="761"/>
      <c r="D64" s="761"/>
      <c r="E64" s="761"/>
      <c r="F64" s="761"/>
      <c r="G64" s="761"/>
    </row>
    <row r="66" spans="1:7" ht="12.75">
      <c r="A66" s="764" t="s">
        <v>620</v>
      </c>
      <c r="B66" s="764"/>
      <c r="C66" s="764"/>
      <c r="D66" s="764"/>
      <c r="E66" s="764"/>
      <c r="F66" s="764"/>
      <c r="G66" s="764"/>
    </row>
    <row r="67" ht="13.5" thickBot="1"/>
    <row r="68" spans="1:10" ht="13.5" thickBot="1">
      <c r="A68" s="765" t="s">
        <v>621</v>
      </c>
      <c r="B68" s="766"/>
      <c r="C68" s="766"/>
      <c r="D68" s="766"/>
      <c r="E68" s="767"/>
      <c r="F68" s="179"/>
      <c r="G68" s="180" t="s">
        <v>22</v>
      </c>
      <c r="H68" s="182" t="s">
        <v>537</v>
      </c>
      <c r="I68"/>
      <c r="J68" s="2"/>
    </row>
    <row r="69" spans="1:10" ht="13.5" thickBot="1">
      <c r="A69" s="179" t="s">
        <v>622</v>
      </c>
      <c r="B69" s="179" t="s">
        <v>1076</v>
      </c>
      <c r="C69" s="179" t="s">
        <v>623</v>
      </c>
      <c r="D69" s="179" t="s">
        <v>624</v>
      </c>
      <c r="E69" s="179" t="s">
        <v>625</v>
      </c>
      <c r="F69" s="179" t="s">
        <v>626</v>
      </c>
      <c r="G69" s="181"/>
      <c r="H69" s="183" t="s">
        <v>627</v>
      </c>
      <c r="I69"/>
      <c r="J69" s="2"/>
    </row>
    <row r="70" spans="1:10" s="38" customFormat="1" ht="15" customHeight="1">
      <c r="A70" s="211">
        <v>1</v>
      </c>
      <c r="B70" s="188">
        <v>3</v>
      </c>
      <c r="C70" s="188">
        <v>2</v>
      </c>
      <c r="D70" s="209" t="s">
        <v>672</v>
      </c>
      <c r="E70" s="209"/>
      <c r="F70" s="209"/>
      <c r="G70" s="210" t="s">
        <v>764</v>
      </c>
      <c r="H70" s="212">
        <v>451770</v>
      </c>
      <c r="J70" s="39"/>
    </row>
    <row r="71" spans="1:10" s="38" customFormat="1" ht="15" customHeight="1">
      <c r="A71" s="196">
        <v>1</v>
      </c>
      <c r="B71" s="193">
        <v>3</v>
      </c>
      <c r="C71" s="193">
        <v>2</v>
      </c>
      <c r="D71" s="197" t="s">
        <v>673</v>
      </c>
      <c r="E71" s="197"/>
      <c r="F71" s="197"/>
      <c r="G71" s="198" t="s">
        <v>765</v>
      </c>
      <c r="H71" s="199">
        <v>661360</v>
      </c>
      <c r="J71" s="39"/>
    </row>
    <row r="72" spans="1:10" s="38" customFormat="1" ht="15" customHeight="1">
      <c r="A72" s="196">
        <v>1</v>
      </c>
      <c r="B72" s="193">
        <v>3</v>
      </c>
      <c r="C72" s="193">
        <v>2</v>
      </c>
      <c r="D72" s="197" t="s">
        <v>675</v>
      </c>
      <c r="E72" s="197"/>
      <c r="F72" s="197"/>
      <c r="G72" s="198" t="s">
        <v>10</v>
      </c>
      <c r="H72" s="199">
        <v>18260</v>
      </c>
      <c r="J72" s="39"/>
    </row>
    <row r="73" spans="1:10" s="38" customFormat="1" ht="15" customHeight="1">
      <c r="A73" s="196">
        <v>1</v>
      </c>
      <c r="B73" s="193">
        <v>3</v>
      </c>
      <c r="C73" s="193">
        <v>2</v>
      </c>
      <c r="D73" s="197" t="s">
        <v>677</v>
      </c>
      <c r="E73" s="197"/>
      <c r="F73" s="197"/>
      <c r="G73" s="198" t="s">
        <v>629</v>
      </c>
      <c r="H73" s="199">
        <v>0</v>
      </c>
      <c r="J73" s="39"/>
    </row>
    <row r="74" spans="1:10" s="38" customFormat="1" ht="15" customHeight="1">
      <c r="A74" s="196">
        <v>1</v>
      </c>
      <c r="B74" s="193">
        <v>3</v>
      </c>
      <c r="C74" s="193">
        <v>2</v>
      </c>
      <c r="D74" s="197" t="s">
        <v>679</v>
      </c>
      <c r="E74" s="197"/>
      <c r="F74" s="197"/>
      <c r="G74" s="198" t="s">
        <v>767</v>
      </c>
      <c r="H74" s="199">
        <v>0</v>
      </c>
      <c r="J74" s="39"/>
    </row>
    <row r="75" spans="1:10" s="38" customFormat="1" ht="15" customHeight="1">
      <c r="A75" s="196">
        <v>1</v>
      </c>
      <c r="B75" s="193">
        <v>3</v>
      </c>
      <c r="C75" s="193">
        <v>2</v>
      </c>
      <c r="D75" s="197" t="s">
        <v>680</v>
      </c>
      <c r="E75" s="197"/>
      <c r="F75" s="197"/>
      <c r="G75" s="198" t="s">
        <v>768</v>
      </c>
      <c r="H75" s="199">
        <v>800000</v>
      </c>
      <c r="J75" s="39"/>
    </row>
    <row r="76" spans="1:10" s="38" customFormat="1" ht="15" customHeight="1">
      <c r="A76" s="196">
        <v>1</v>
      </c>
      <c r="B76" s="193">
        <v>3</v>
      </c>
      <c r="C76" s="193">
        <v>2</v>
      </c>
      <c r="D76" s="197" t="s">
        <v>681</v>
      </c>
      <c r="E76" s="197"/>
      <c r="F76" s="197"/>
      <c r="G76" s="198" t="s">
        <v>769</v>
      </c>
      <c r="H76" s="199">
        <f>+H77</f>
        <v>0</v>
      </c>
      <c r="J76" s="39"/>
    </row>
    <row r="77" spans="1:10" s="38" customFormat="1" ht="15" customHeight="1">
      <c r="A77" s="196">
        <v>1</v>
      </c>
      <c r="B77" s="193">
        <v>3</v>
      </c>
      <c r="C77" s="193">
        <v>2</v>
      </c>
      <c r="D77" s="197" t="s">
        <v>681</v>
      </c>
      <c r="E77" s="197" t="s">
        <v>666</v>
      </c>
      <c r="F77" s="197"/>
      <c r="G77" s="200" t="s">
        <v>1129</v>
      </c>
      <c r="H77" s="201">
        <v>0</v>
      </c>
      <c r="J77" s="39"/>
    </row>
    <row r="78" spans="1:10" s="38" customFormat="1" ht="15" customHeight="1">
      <c r="A78" s="196">
        <v>1</v>
      </c>
      <c r="B78" s="193">
        <v>3</v>
      </c>
      <c r="C78" s="193">
        <v>2</v>
      </c>
      <c r="D78" s="197" t="s">
        <v>725</v>
      </c>
      <c r="E78" s="197"/>
      <c r="F78" s="197"/>
      <c r="G78" s="198" t="s">
        <v>1130</v>
      </c>
      <c r="H78" s="199">
        <f>+SUM(H79:H81)</f>
        <v>78930</v>
      </c>
      <c r="J78" s="39"/>
    </row>
    <row r="79" spans="1:10" s="38" customFormat="1" ht="15" customHeight="1">
      <c r="A79" s="196">
        <v>1</v>
      </c>
      <c r="B79" s="193">
        <v>3</v>
      </c>
      <c r="C79" s="193">
        <v>2</v>
      </c>
      <c r="D79" s="197" t="s">
        <v>725</v>
      </c>
      <c r="E79" s="197" t="s">
        <v>666</v>
      </c>
      <c r="F79" s="197"/>
      <c r="G79" s="200" t="s">
        <v>1066</v>
      </c>
      <c r="H79" s="201">
        <v>78930</v>
      </c>
      <c r="J79" s="39"/>
    </row>
    <row r="80" spans="1:10" s="38" customFormat="1" ht="15" customHeight="1">
      <c r="A80" s="196">
        <v>1</v>
      </c>
      <c r="B80" s="193">
        <v>3</v>
      </c>
      <c r="C80" s="193">
        <v>2</v>
      </c>
      <c r="D80" s="197" t="s">
        <v>725</v>
      </c>
      <c r="E80" s="197" t="s">
        <v>668</v>
      </c>
      <c r="F80" s="197"/>
      <c r="G80" s="200" t="s">
        <v>1074</v>
      </c>
      <c r="H80" s="201">
        <v>0</v>
      </c>
      <c r="J80" s="39"/>
    </row>
    <row r="81" spans="1:10" s="38" customFormat="1" ht="15" customHeight="1">
      <c r="A81" s="196">
        <v>1</v>
      </c>
      <c r="B81" s="193">
        <v>3</v>
      </c>
      <c r="C81" s="193">
        <v>2</v>
      </c>
      <c r="D81" s="197" t="s">
        <v>725</v>
      </c>
      <c r="E81" s="197" t="s">
        <v>670</v>
      </c>
      <c r="F81" s="197"/>
      <c r="G81" s="200" t="s">
        <v>1075</v>
      </c>
      <c r="H81" s="201">
        <v>0</v>
      </c>
      <c r="J81" s="39"/>
    </row>
    <row r="82" spans="1:10" s="38" customFormat="1" ht="15" customHeight="1">
      <c r="A82" s="196">
        <v>1</v>
      </c>
      <c r="B82" s="193">
        <v>3</v>
      </c>
      <c r="C82" s="193">
        <v>2</v>
      </c>
      <c r="D82" s="197" t="s">
        <v>729</v>
      </c>
      <c r="E82" s="197"/>
      <c r="F82" s="197"/>
      <c r="G82" s="198" t="s">
        <v>770</v>
      </c>
      <c r="H82" s="199">
        <v>0</v>
      </c>
      <c r="J82" s="39"/>
    </row>
    <row r="83" spans="1:10" s="38" customFormat="1" ht="15" customHeight="1">
      <c r="A83" s="196">
        <v>1</v>
      </c>
      <c r="B83" s="193">
        <v>3</v>
      </c>
      <c r="C83" s="193">
        <v>2</v>
      </c>
      <c r="D83" s="197" t="s">
        <v>733</v>
      </c>
      <c r="E83" s="197"/>
      <c r="F83" s="197"/>
      <c r="G83" s="198" t="s">
        <v>771</v>
      </c>
      <c r="H83" s="199">
        <v>2089160</v>
      </c>
      <c r="J83" s="39"/>
    </row>
    <row r="84" spans="1:10" s="38" customFormat="1" ht="15" customHeight="1">
      <c r="A84" s="196" t="s">
        <v>898</v>
      </c>
      <c r="B84" s="193" t="s">
        <v>900</v>
      </c>
      <c r="C84" s="193" t="s">
        <v>1085</v>
      </c>
      <c r="D84" s="197" t="s">
        <v>734</v>
      </c>
      <c r="E84" s="197"/>
      <c r="F84" s="197"/>
      <c r="G84" s="198" t="s">
        <v>772</v>
      </c>
      <c r="H84" s="199">
        <v>371530</v>
      </c>
      <c r="J84" s="39"/>
    </row>
    <row r="85" spans="1:10" s="38" customFormat="1" ht="15" customHeight="1">
      <c r="A85" s="196">
        <v>1</v>
      </c>
      <c r="B85" s="193">
        <v>3</v>
      </c>
      <c r="C85" s="193">
        <v>2</v>
      </c>
      <c r="D85" s="197" t="s">
        <v>1131</v>
      </c>
      <c r="E85" s="197"/>
      <c r="F85" s="197"/>
      <c r="G85" s="198" t="s">
        <v>1132</v>
      </c>
      <c r="H85" s="199">
        <v>879700</v>
      </c>
      <c r="J85" s="39"/>
    </row>
    <row r="86" spans="1:10" s="38" customFormat="1" ht="15" customHeight="1">
      <c r="A86" s="191">
        <v>1</v>
      </c>
      <c r="B86" s="192">
        <v>3</v>
      </c>
      <c r="C86" s="192">
        <v>3</v>
      </c>
      <c r="D86" s="197"/>
      <c r="E86" s="197"/>
      <c r="F86" s="197"/>
      <c r="G86" s="194" t="s">
        <v>774</v>
      </c>
      <c r="H86" s="195">
        <f>+H87+H90+H93+H97+H98+H99+H105+H113+H114+H117+H120</f>
        <v>6422000</v>
      </c>
      <c r="J86" s="39"/>
    </row>
    <row r="87" spans="1:10" s="38" customFormat="1" ht="15" customHeight="1">
      <c r="A87" s="196">
        <v>1</v>
      </c>
      <c r="B87" s="193">
        <v>3</v>
      </c>
      <c r="C87" s="193">
        <v>3</v>
      </c>
      <c r="D87" s="197" t="s">
        <v>666</v>
      </c>
      <c r="E87" s="197"/>
      <c r="F87" s="197"/>
      <c r="G87" s="198" t="s">
        <v>775</v>
      </c>
      <c r="H87" s="199">
        <f>+SUM(H88:H89)</f>
        <v>170470</v>
      </c>
      <c r="J87" s="39"/>
    </row>
    <row r="88" spans="1:10" s="38" customFormat="1" ht="15" customHeight="1">
      <c r="A88" s="196">
        <v>1</v>
      </c>
      <c r="B88" s="193">
        <v>3</v>
      </c>
      <c r="C88" s="193">
        <v>3</v>
      </c>
      <c r="D88" s="197" t="s">
        <v>666</v>
      </c>
      <c r="E88" s="197" t="s">
        <v>666</v>
      </c>
      <c r="F88" s="197"/>
      <c r="G88" s="200" t="s">
        <v>1133</v>
      </c>
      <c r="H88" s="201">
        <v>121950</v>
      </c>
      <c r="J88" s="39"/>
    </row>
    <row r="89" spans="1:10" s="38" customFormat="1" ht="15" customHeight="1">
      <c r="A89" s="196">
        <v>1</v>
      </c>
      <c r="B89" s="193">
        <v>3</v>
      </c>
      <c r="C89" s="193">
        <v>3</v>
      </c>
      <c r="D89" s="197" t="s">
        <v>666</v>
      </c>
      <c r="E89" s="197" t="s">
        <v>668</v>
      </c>
      <c r="F89" s="197"/>
      <c r="G89" s="200" t="s">
        <v>11</v>
      </c>
      <c r="H89" s="201">
        <v>48520</v>
      </c>
      <c r="J89" s="39"/>
    </row>
    <row r="90" spans="1:10" s="38" customFormat="1" ht="15" customHeight="1">
      <c r="A90" s="196">
        <v>1</v>
      </c>
      <c r="B90" s="193">
        <v>3</v>
      </c>
      <c r="C90" s="193">
        <v>3</v>
      </c>
      <c r="D90" s="197" t="s">
        <v>668</v>
      </c>
      <c r="E90" s="197"/>
      <c r="F90" s="197"/>
      <c r="G90" s="198" t="s">
        <v>1134</v>
      </c>
      <c r="H90" s="199">
        <f>+SUM(H91:H92)</f>
        <v>3685970</v>
      </c>
      <c r="J90" s="39"/>
    </row>
    <row r="91" spans="1:10" s="38" customFormat="1" ht="15" customHeight="1">
      <c r="A91" s="196">
        <v>1</v>
      </c>
      <c r="B91" s="193">
        <v>3</v>
      </c>
      <c r="C91" s="193">
        <v>3</v>
      </c>
      <c r="D91" s="197" t="s">
        <v>668</v>
      </c>
      <c r="E91" s="197" t="s">
        <v>666</v>
      </c>
      <c r="F91" s="197"/>
      <c r="G91" s="200" t="s">
        <v>1135</v>
      </c>
      <c r="H91" s="201">
        <v>2603260</v>
      </c>
      <c r="J91" s="39"/>
    </row>
    <row r="92" spans="1:10" s="38" customFormat="1" ht="15" customHeight="1">
      <c r="A92" s="196">
        <v>1</v>
      </c>
      <c r="B92" s="193">
        <v>3</v>
      </c>
      <c r="C92" s="193">
        <v>3</v>
      </c>
      <c r="D92" s="197" t="s">
        <v>668</v>
      </c>
      <c r="E92" s="197" t="s">
        <v>668</v>
      </c>
      <c r="F92" s="197"/>
      <c r="G92" s="200" t="s">
        <v>1136</v>
      </c>
      <c r="H92" s="201">
        <v>1082710</v>
      </c>
      <c r="J92" s="39"/>
    </row>
    <row r="93" spans="1:10" s="38" customFormat="1" ht="15" customHeight="1">
      <c r="A93" s="196">
        <v>1</v>
      </c>
      <c r="B93" s="193">
        <v>3</v>
      </c>
      <c r="C93" s="193">
        <v>3</v>
      </c>
      <c r="D93" s="197" t="s">
        <v>670</v>
      </c>
      <c r="E93" s="197"/>
      <c r="F93" s="197"/>
      <c r="G93" s="198" t="s">
        <v>776</v>
      </c>
      <c r="H93" s="199">
        <f>+H94+H95+H96</f>
        <v>10000</v>
      </c>
      <c r="J93" s="39"/>
    </row>
    <row r="94" spans="1:10" s="38" customFormat="1" ht="15" customHeight="1">
      <c r="A94" s="196">
        <v>1</v>
      </c>
      <c r="B94" s="193">
        <v>3</v>
      </c>
      <c r="C94" s="193">
        <v>3</v>
      </c>
      <c r="D94" s="197" t="s">
        <v>670</v>
      </c>
      <c r="E94" s="197" t="s">
        <v>666</v>
      </c>
      <c r="F94" s="197"/>
      <c r="G94" s="200" t="s">
        <v>1137</v>
      </c>
      <c r="H94" s="201">
        <v>10000</v>
      </c>
      <c r="J94" s="39"/>
    </row>
    <row r="95" spans="1:10" s="33" customFormat="1" ht="15" customHeight="1">
      <c r="A95" s="196">
        <v>1</v>
      </c>
      <c r="B95" s="193">
        <v>3</v>
      </c>
      <c r="C95" s="193">
        <v>3</v>
      </c>
      <c r="D95" s="197" t="s">
        <v>670</v>
      </c>
      <c r="E95" s="197" t="s">
        <v>668</v>
      </c>
      <c r="F95" s="197"/>
      <c r="G95" s="200" t="s">
        <v>1138</v>
      </c>
      <c r="H95" s="201">
        <v>0</v>
      </c>
      <c r="J95" s="40"/>
    </row>
    <row r="96" spans="1:10" s="33" customFormat="1" ht="15" customHeight="1">
      <c r="A96" s="196">
        <v>1</v>
      </c>
      <c r="B96" s="193">
        <v>3</v>
      </c>
      <c r="C96" s="193">
        <v>3</v>
      </c>
      <c r="D96" s="197" t="s">
        <v>670</v>
      </c>
      <c r="E96" s="197" t="s">
        <v>668</v>
      </c>
      <c r="F96" s="197" t="s">
        <v>1078</v>
      </c>
      <c r="G96" s="200" t="s">
        <v>1144</v>
      </c>
      <c r="H96" s="201">
        <v>0</v>
      </c>
      <c r="J96" s="40"/>
    </row>
    <row r="97" spans="1:10" s="38" customFormat="1" ht="15" customHeight="1">
      <c r="A97" s="196">
        <v>1</v>
      </c>
      <c r="B97" s="193">
        <v>3</v>
      </c>
      <c r="C97" s="193">
        <v>3</v>
      </c>
      <c r="D97" s="197" t="s">
        <v>672</v>
      </c>
      <c r="E97" s="197"/>
      <c r="F97" s="197"/>
      <c r="G97" s="198" t="s">
        <v>1145</v>
      </c>
      <c r="H97" s="199">
        <v>66220</v>
      </c>
      <c r="J97" s="39"/>
    </row>
    <row r="98" spans="1:10" s="33" customFormat="1" ht="15" customHeight="1">
      <c r="A98" s="196">
        <v>1</v>
      </c>
      <c r="B98" s="193">
        <v>3</v>
      </c>
      <c r="C98" s="193">
        <v>3</v>
      </c>
      <c r="D98" s="197" t="s">
        <v>675</v>
      </c>
      <c r="E98" s="197"/>
      <c r="F98" s="197"/>
      <c r="G98" s="198" t="s">
        <v>1146</v>
      </c>
      <c r="H98" s="199">
        <f>30240+10080</f>
        <v>40320</v>
      </c>
      <c r="J98" s="40"/>
    </row>
    <row r="99" spans="1:10" s="38" customFormat="1" ht="15" customHeight="1">
      <c r="A99" s="196">
        <v>1</v>
      </c>
      <c r="B99" s="193">
        <v>3</v>
      </c>
      <c r="C99" s="193">
        <v>3</v>
      </c>
      <c r="D99" s="197" t="s">
        <v>677</v>
      </c>
      <c r="E99" s="197"/>
      <c r="F99" s="197"/>
      <c r="G99" s="198" t="s">
        <v>1147</v>
      </c>
      <c r="H99" s="199">
        <f>SUM(H100:H104)</f>
        <v>10080</v>
      </c>
      <c r="J99" s="39"/>
    </row>
    <row r="100" spans="1:10" s="38" customFormat="1" ht="15" customHeight="1">
      <c r="A100" s="196">
        <v>1</v>
      </c>
      <c r="B100" s="193">
        <v>3</v>
      </c>
      <c r="C100" s="193">
        <v>3</v>
      </c>
      <c r="D100" s="197" t="s">
        <v>677</v>
      </c>
      <c r="E100" s="197" t="s">
        <v>666</v>
      </c>
      <c r="F100" s="197"/>
      <c r="G100" s="200" t="s">
        <v>12</v>
      </c>
      <c r="H100" s="201">
        <v>0</v>
      </c>
      <c r="J100" s="39"/>
    </row>
    <row r="101" spans="1:10" s="33" customFormat="1" ht="15" customHeight="1">
      <c r="A101" s="196">
        <v>1</v>
      </c>
      <c r="B101" s="193">
        <v>3</v>
      </c>
      <c r="C101" s="193">
        <v>3</v>
      </c>
      <c r="D101" s="197" t="s">
        <v>677</v>
      </c>
      <c r="E101" s="197" t="s">
        <v>668</v>
      </c>
      <c r="F101" s="197"/>
      <c r="G101" s="200" t="s">
        <v>1077</v>
      </c>
      <c r="H101" s="201">
        <v>5080</v>
      </c>
      <c r="J101" s="40"/>
    </row>
    <row r="102" spans="1:10" s="33" customFormat="1" ht="15" customHeight="1">
      <c r="A102" s="196">
        <v>1</v>
      </c>
      <c r="B102" s="193">
        <v>3</v>
      </c>
      <c r="C102" s="193">
        <v>3</v>
      </c>
      <c r="D102" s="197" t="s">
        <v>677</v>
      </c>
      <c r="E102" s="197" t="s">
        <v>670</v>
      </c>
      <c r="F102" s="192"/>
      <c r="G102" s="200" t="s">
        <v>1148</v>
      </c>
      <c r="H102" s="201"/>
      <c r="J102" s="40"/>
    </row>
    <row r="103" spans="1:10" s="33" customFormat="1" ht="15" customHeight="1">
      <c r="A103" s="196"/>
      <c r="B103" s="193">
        <v>3</v>
      </c>
      <c r="C103" s="193">
        <v>3</v>
      </c>
      <c r="D103" s="197" t="s">
        <v>677</v>
      </c>
      <c r="E103" s="197" t="s">
        <v>672</v>
      </c>
      <c r="F103" s="192"/>
      <c r="G103" s="200" t="s">
        <v>1087</v>
      </c>
      <c r="H103" s="201">
        <v>0</v>
      </c>
      <c r="J103" s="40"/>
    </row>
    <row r="104" spans="1:10" s="33" customFormat="1" ht="15" customHeight="1">
      <c r="A104" s="196"/>
      <c r="B104" s="193">
        <v>3</v>
      </c>
      <c r="C104" s="193">
        <v>3</v>
      </c>
      <c r="D104" s="197" t="s">
        <v>677</v>
      </c>
      <c r="E104" s="197" t="s">
        <v>673</v>
      </c>
      <c r="F104" s="192"/>
      <c r="G104" s="200" t="s">
        <v>1088</v>
      </c>
      <c r="H104" s="201">
        <v>5000</v>
      </c>
      <c r="J104" s="40"/>
    </row>
    <row r="105" spans="1:10" s="38" customFormat="1" ht="15" customHeight="1">
      <c r="A105" s="196">
        <v>1</v>
      </c>
      <c r="B105" s="193">
        <v>3</v>
      </c>
      <c r="C105" s="193">
        <v>3</v>
      </c>
      <c r="D105" s="197" t="s">
        <v>679</v>
      </c>
      <c r="E105" s="197"/>
      <c r="F105" s="197"/>
      <c r="G105" s="198" t="s">
        <v>1149</v>
      </c>
      <c r="H105" s="199">
        <f>+SUM(H106:H112)</f>
        <v>1795870</v>
      </c>
      <c r="J105" s="39"/>
    </row>
    <row r="106" spans="1:10" s="38" customFormat="1" ht="15" customHeight="1">
      <c r="A106" s="196">
        <v>1</v>
      </c>
      <c r="B106" s="193">
        <v>3</v>
      </c>
      <c r="C106" s="193">
        <v>3</v>
      </c>
      <c r="D106" s="197" t="s">
        <v>679</v>
      </c>
      <c r="E106" s="197" t="s">
        <v>666</v>
      </c>
      <c r="F106" s="197"/>
      <c r="G106" s="200" t="s">
        <v>1150</v>
      </c>
      <c r="H106" s="201">
        <v>890810</v>
      </c>
      <c r="J106" s="39"/>
    </row>
    <row r="107" spans="1:10" s="38" customFormat="1" ht="15" customHeight="1">
      <c r="A107" s="196">
        <v>1</v>
      </c>
      <c r="B107" s="193">
        <v>3</v>
      </c>
      <c r="C107" s="193">
        <v>3</v>
      </c>
      <c r="D107" s="197" t="s">
        <v>679</v>
      </c>
      <c r="E107" s="197" t="s">
        <v>668</v>
      </c>
      <c r="F107" s="197"/>
      <c r="G107" s="200" t="s">
        <v>1067</v>
      </c>
      <c r="H107" s="201">
        <v>852070</v>
      </c>
      <c r="J107" s="39"/>
    </row>
    <row r="108" spans="1:10" s="38" customFormat="1" ht="15" customHeight="1">
      <c r="A108" s="196">
        <v>1</v>
      </c>
      <c r="B108" s="193">
        <v>3</v>
      </c>
      <c r="C108" s="193">
        <v>3</v>
      </c>
      <c r="D108" s="197" t="s">
        <v>679</v>
      </c>
      <c r="E108" s="197" t="s">
        <v>670</v>
      </c>
      <c r="F108" s="197"/>
      <c r="G108" s="200" t="s">
        <v>1151</v>
      </c>
      <c r="H108" s="201">
        <v>34730</v>
      </c>
      <c r="J108" s="39"/>
    </row>
    <row r="109" spans="1:10" s="38" customFormat="1" ht="15" customHeight="1">
      <c r="A109" s="196">
        <v>1</v>
      </c>
      <c r="B109" s="193">
        <v>3</v>
      </c>
      <c r="C109" s="193">
        <v>3</v>
      </c>
      <c r="D109" s="197" t="s">
        <v>679</v>
      </c>
      <c r="E109" s="197" t="s">
        <v>672</v>
      </c>
      <c r="F109" s="197"/>
      <c r="G109" s="200" t="s">
        <v>1068</v>
      </c>
      <c r="H109" s="201">
        <v>0</v>
      </c>
      <c r="J109" s="39"/>
    </row>
    <row r="110" spans="1:10" s="38" customFormat="1" ht="15" customHeight="1">
      <c r="A110" s="196">
        <v>1</v>
      </c>
      <c r="B110" s="193">
        <v>3</v>
      </c>
      <c r="C110" s="193" t="s">
        <v>900</v>
      </c>
      <c r="D110" s="197" t="s">
        <v>679</v>
      </c>
      <c r="E110" s="197" t="s">
        <v>673</v>
      </c>
      <c r="F110" s="197"/>
      <c r="G110" s="200" t="s">
        <v>52</v>
      </c>
      <c r="H110" s="201">
        <v>6050</v>
      </c>
      <c r="J110" s="39"/>
    </row>
    <row r="111" spans="1:10" s="38" customFormat="1" ht="15" customHeight="1">
      <c r="A111" s="196" t="s">
        <v>898</v>
      </c>
      <c r="B111" s="193" t="s">
        <v>900</v>
      </c>
      <c r="C111" s="193" t="s">
        <v>900</v>
      </c>
      <c r="D111" s="197" t="s">
        <v>679</v>
      </c>
      <c r="E111" s="197" t="s">
        <v>675</v>
      </c>
      <c r="F111" s="197"/>
      <c r="G111" s="200" t="s">
        <v>53</v>
      </c>
      <c r="H111" s="201">
        <v>2860</v>
      </c>
      <c r="J111" s="39"/>
    </row>
    <row r="112" spans="1:10" s="38" customFormat="1" ht="15" customHeight="1">
      <c r="A112" s="196" t="s">
        <v>898</v>
      </c>
      <c r="B112" s="193" t="s">
        <v>900</v>
      </c>
      <c r="C112" s="193" t="s">
        <v>900</v>
      </c>
      <c r="D112" s="197" t="s">
        <v>679</v>
      </c>
      <c r="E112" s="197" t="s">
        <v>677</v>
      </c>
      <c r="F112" s="197"/>
      <c r="G112" s="200" t="s">
        <v>54</v>
      </c>
      <c r="H112" s="201">
        <v>9350</v>
      </c>
      <c r="J112" s="39"/>
    </row>
    <row r="113" spans="1:10" s="38" customFormat="1" ht="15" customHeight="1">
      <c r="A113" s="196">
        <v>1</v>
      </c>
      <c r="B113" s="193">
        <v>3</v>
      </c>
      <c r="C113" s="193">
        <v>3</v>
      </c>
      <c r="D113" s="197" t="s">
        <v>680</v>
      </c>
      <c r="E113" s="197"/>
      <c r="F113" s="197"/>
      <c r="G113" s="198" t="s">
        <v>777</v>
      </c>
      <c r="H113" s="199">
        <v>0</v>
      </c>
      <c r="J113" s="39"/>
    </row>
    <row r="114" spans="1:10" s="38" customFormat="1" ht="15" customHeight="1">
      <c r="A114" s="196">
        <v>1</v>
      </c>
      <c r="B114" s="193">
        <v>3</v>
      </c>
      <c r="C114" s="193">
        <v>3</v>
      </c>
      <c r="D114" s="197" t="s">
        <v>681</v>
      </c>
      <c r="E114" s="197"/>
      <c r="F114" s="197"/>
      <c r="G114" s="198" t="s">
        <v>1152</v>
      </c>
      <c r="H114" s="199">
        <f>+SUM(H115:H116)</f>
        <v>142660</v>
      </c>
      <c r="J114" s="39"/>
    </row>
    <row r="115" spans="1:10" s="38" customFormat="1" ht="15" customHeight="1">
      <c r="A115" s="196">
        <v>1</v>
      </c>
      <c r="B115" s="193">
        <v>3</v>
      </c>
      <c r="C115" s="193">
        <v>3</v>
      </c>
      <c r="D115" s="197" t="s">
        <v>681</v>
      </c>
      <c r="E115" s="197" t="s">
        <v>666</v>
      </c>
      <c r="F115" s="197"/>
      <c r="G115" s="200" t="s">
        <v>1153</v>
      </c>
      <c r="H115" s="201">
        <v>0</v>
      </c>
      <c r="J115" s="39"/>
    </row>
    <row r="116" spans="1:10" s="38" customFormat="1" ht="15" customHeight="1">
      <c r="A116" s="196">
        <v>1</v>
      </c>
      <c r="B116" s="193">
        <v>3</v>
      </c>
      <c r="C116" s="193">
        <v>3</v>
      </c>
      <c r="D116" s="197" t="s">
        <v>681</v>
      </c>
      <c r="E116" s="197" t="s">
        <v>668</v>
      </c>
      <c r="F116" s="197"/>
      <c r="G116" s="200" t="s">
        <v>1154</v>
      </c>
      <c r="H116" s="201">
        <v>142660</v>
      </c>
      <c r="J116" s="39"/>
    </row>
    <row r="117" spans="1:10" s="38" customFormat="1" ht="15" customHeight="1">
      <c r="A117" s="196">
        <v>1</v>
      </c>
      <c r="B117" s="193">
        <v>3</v>
      </c>
      <c r="C117" s="193">
        <v>3</v>
      </c>
      <c r="D117" s="197" t="s">
        <v>725</v>
      </c>
      <c r="E117" s="197"/>
      <c r="F117" s="197"/>
      <c r="G117" s="198" t="s">
        <v>778</v>
      </c>
      <c r="H117" s="199">
        <f>+SUM(H118:H119)</f>
        <v>90000</v>
      </c>
      <c r="J117" s="39"/>
    </row>
    <row r="118" spans="1:10" s="38" customFormat="1" ht="15" customHeight="1">
      <c r="A118" s="196">
        <v>1</v>
      </c>
      <c r="B118" s="193">
        <v>3</v>
      </c>
      <c r="C118" s="193">
        <v>3</v>
      </c>
      <c r="D118" s="197" t="s">
        <v>725</v>
      </c>
      <c r="E118" s="197" t="s">
        <v>666</v>
      </c>
      <c r="F118" s="197"/>
      <c r="G118" s="200" t="s">
        <v>1155</v>
      </c>
      <c r="H118" s="201">
        <v>90000</v>
      </c>
      <c r="J118" s="39"/>
    </row>
    <row r="119" spans="1:10" s="38" customFormat="1" ht="15" customHeight="1">
      <c r="A119" s="196">
        <v>1</v>
      </c>
      <c r="B119" s="193">
        <v>3</v>
      </c>
      <c r="C119" s="193">
        <v>3</v>
      </c>
      <c r="D119" s="197" t="s">
        <v>725</v>
      </c>
      <c r="E119" s="197" t="s">
        <v>668</v>
      </c>
      <c r="F119" s="197"/>
      <c r="G119" s="200" t="s">
        <v>13</v>
      </c>
      <c r="H119" s="201">
        <v>0</v>
      </c>
      <c r="J119" s="39"/>
    </row>
    <row r="120" spans="1:10" s="38" customFormat="1" ht="15" customHeight="1">
      <c r="A120" s="196">
        <v>1</v>
      </c>
      <c r="B120" s="193">
        <v>3</v>
      </c>
      <c r="C120" s="193">
        <v>3</v>
      </c>
      <c r="D120" s="197" t="s">
        <v>729</v>
      </c>
      <c r="E120" s="197"/>
      <c r="F120" s="197"/>
      <c r="G120" s="198" t="s">
        <v>779</v>
      </c>
      <c r="H120" s="199">
        <f>+SUM(H121:H134)</f>
        <v>410410</v>
      </c>
      <c r="J120" s="39"/>
    </row>
    <row r="121" spans="1:10" s="38" customFormat="1" ht="15" customHeight="1">
      <c r="A121" s="196">
        <v>1</v>
      </c>
      <c r="B121" s="193">
        <v>3</v>
      </c>
      <c r="C121" s="193">
        <v>3</v>
      </c>
      <c r="D121" s="197" t="s">
        <v>729</v>
      </c>
      <c r="E121" s="197" t="s">
        <v>666</v>
      </c>
      <c r="F121" s="197"/>
      <c r="G121" s="200" t="s">
        <v>14</v>
      </c>
      <c r="H121" s="201">
        <v>105830</v>
      </c>
      <c r="J121" s="39"/>
    </row>
    <row r="122" spans="1:10" s="38" customFormat="1" ht="15" customHeight="1">
      <c r="A122" s="196">
        <v>1</v>
      </c>
      <c r="B122" s="193">
        <v>3</v>
      </c>
      <c r="C122" s="193">
        <v>3</v>
      </c>
      <c r="D122" s="197" t="s">
        <v>729</v>
      </c>
      <c r="E122" s="197" t="s">
        <v>668</v>
      </c>
      <c r="F122" s="197"/>
      <c r="G122" s="200" t="s">
        <v>753</v>
      </c>
      <c r="H122" s="199">
        <v>0</v>
      </c>
      <c r="J122" s="39"/>
    </row>
    <row r="123" spans="1:10" s="38" customFormat="1" ht="15" customHeight="1">
      <c r="A123" s="196">
        <v>1</v>
      </c>
      <c r="B123" s="193">
        <v>3</v>
      </c>
      <c r="C123" s="193">
        <v>3</v>
      </c>
      <c r="D123" s="197" t="s">
        <v>729</v>
      </c>
      <c r="E123" s="197" t="s">
        <v>670</v>
      </c>
      <c r="F123" s="197"/>
      <c r="G123" s="200" t="s">
        <v>631</v>
      </c>
      <c r="H123" s="199">
        <v>0</v>
      </c>
      <c r="J123" s="39"/>
    </row>
    <row r="124" spans="1:10" s="38" customFormat="1" ht="15" customHeight="1">
      <c r="A124" s="196">
        <v>1</v>
      </c>
      <c r="B124" s="193">
        <v>3</v>
      </c>
      <c r="C124" s="193">
        <v>3</v>
      </c>
      <c r="D124" s="197" t="s">
        <v>729</v>
      </c>
      <c r="E124" s="197" t="s">
        <v>672</v>
      </c>
      <c r="F124" s="197"/>
      <c r="G124" s="200" t="s">
        <v>632</v>
      </c>
      <c r="H124" s="201"/>
      <c r="J124" s="39"/>
    </row>
    <row r="125" spans="1:10" s="38" customFormat="1" ht="15" customHeight="1" thickBot="1">
      <c r="A125" s="204">
        <v>1</v>
      </c>
      <c r="B125" s="205">
        <v>3</v>
      </c>
      <c r="C125" s="205">
        <v>3</v>
      </c>
      <c r="D125" s="206" t="s">
        <v>729</v>
      </c>
      <c r="E125" s="206" t="s">
        <v>673</v>
      </c>
      <c r="F125" s="206"/>
      <c r="G125" s="207" t="s">
        <v>1156</v>
      </c>
      <c r="H125" s="208">
        <v>40890</v>
      </c>
      <c r="J125" s="39"/>
    </row>
    <row r="126" spans="1:7" ht="12.75">
      <c r="A126" s="72">
        <f>+A63</f>
        <v>0</v>
      </c>
      <c r="B126" s="55"/>
      <c r="G126" s="67" t="s">
        <v>364</v>
      </c>
    </row>
    <row r="127" spans="1:7" ht="15">
      <c r="A127" s="761" t="s">
        <v>382</v>
      </c>
      <c r="B127" s="761"/>
      <c r="C127" s="761"/>
      <c r="D127" s="761"/>
      <c r="E127" s="761"/>
      <c r="F127" s="761"/>
      <c r="G127" s="761"/>
    </row>
    <row r="129" spans="1:7" ht="12.75">
      <c r="A129" s="764" t="s">
        <v>620</v>
      </c>
      <c r="B129" s="764"/>
      <c r="C129" s="764"/>
      <c r="D129" s="764"/>
      <c r="E129" s="764"/>
      <c r="F129" s="764"/>
      <c r="G129" s="764"/>
    </row>
    <row r="130" ht="13.5" thickBot="1"/>
    <row r="131" spans="1:10" ht="13.5" thickBot="1">
      <c r="A131" s="765" t="s">
        <v>621</v>
      </c>
      <c r="B131" s="766"/>
      <c r="C131" s="766"/>
      <c r="D131" s="766"/>
      <c r="E131" s="767"/>
      <c r="F131" s="179"/>
      <c r="G131" s="180" t="s">
        <v>22</v>
      </c>
      <c r="H131" s="182" t="s">
        <v>537</v>
      </c>
      <c r="I131"/>
      <c r="J131" s="2"/>
    </row>
    <row r="132" spans="1:10" ht="13.5" thickBot="1">
      <c r="A132" s="179" t="s">
        <v>622</v>
      </c>
      <c r="B132" s="179" t="s">
        <v>1076</v>
      </c>
      <c r="C132" s="179" t="s">
        <v>623</v>
      </c>
      <c r="D132" s="179" t="s">
        <v>624</v>
      </c>
      <c r="E132" s="179" t="s">
        <v>625</v>
      </c>
      <c r="F132" s="179" t="s">
        <v>626</v>
      </c>
      <c r="G132" s="181"/>
      <c r="H132" s="183" t="s">
        <v>627</v>
      </c>
      <c r="I132"/>
      <c r="J132" s="2"/>
    </row>
    <row r="133" spans="1:10" s="38" customFormat="1" ht="15" customHeight="1">
      <c r="A133" s="219">
        <v>1</v>
      </c>
      <c r="B133" s="213">
        <v>3</v>
      </c>
      <c r="C133" s="213">
        <v>3</v>
      </c>
      <c r="D133" s="214" t="s">
        <v>729</v>
      </c>
      <c r="E133" s="214" t="s">
        <v>675</v>
      </c>
      <c r="F133" s="214"/>
      <c r="G133" s="215" t="s">
        <v>1157</v>
      </c>
      <c r="H133" s="220">
        <v>233170</v>
      </c>
      <c r="J133" s="39"/>
    </row>
    <row r="134" spans="1:10" s="38" customFormat="1" ht="15" customHeight="1">
      <c r="A134" s="221">
        <v>1</v>
      </c>
      <c r="B134" s="66">
        <v>3</v>
      </c>
      <c r="C134" s="66">
        <v>3</v>
      </c>
      <c r="D134" s="47" t="s">
        <v>729</v>
      </c>
      <c r="E134" s="47" t="s">
        <v>677</v>
      </c>
      <c r="F134" s="47"/>
      <c r="G134" s="46" t="s">
        <v>1158</v>
      </c>
      <c r="H134" s="222">
        <v>30520</v>
      </c>
      <c r="J134" s="39"/>
    </row>
    <row r="135" spans="1:10" ht="15" customHeight="1">
      <c r="A135" s="221"/>
      <c r="B135" s="66"/>
      <c r="C135" s="66"/>
      <c r="D135" s="47"/>
      <c r="E135" s="47"/>
      <c r="F135" s="47"/>
      <c r="G135" s="216" t="s">
        <v>796</v>
      </c>
      <c r="H135" s="223">
        <f>+H8</f>
        <v>90769030</v>
      </c>
      <c r="I135"/>
      <c r="J135" s="2"/>
    </row>
    <row r="136" spans="1:10" ht="15" customHeight="1">
      <c r="A136" s="224">
        <v>2</v>
      </c>
      <c r="B136" s="63"/>
      <c r="C136" s="66"/>
      <c r="D136" s="66"/>
      <c r="E136" s="66"/>
      <c r="F136" s="66"/>
      <c r="G136" s="217" t="s">
        <v>809</v>
      </c>
      <c r="H136" s="223">
        <f>+H137+H143+H168+H171+H173</f>
        <v>10083360</v>
      </c>
      <c r="I136"/>
      <c r="J136" s="2"/>
    </row>
    <row r="137" spans="1:10" ht="15" customHeight="1">
      <c r="A137" s="224">
        <v>2</v>
      </c>
      <c r="B137" s="63">
        <v>1</v>
      </c>
      <c r="C137" s="66"/>
      <c r="D137" s="66"/>
      <c r="E137" s="66"/>
      <c r="F137" s="66"/>
      <c r="G137" s="217" t="s">
        <v>797</v>
      </c>
      <c r="H137" s="225">
        <f>+H140</f>
        <v>0</v>
      </c>
      <c r="I137"/>
      <c r="J137" s="2"/>
    </row>
    <row r="138" spans="1:10" ht="15" customHeight="1">
      <c r="A138" s="224">
        <v>2</v>
      </c>
      <c r="B138" s="63">
        <v>1</v>
      </c>
      <c r="C138" s="63">
        <v>1</v>
      </c>
      <c r="D138" s="66"/>
      <c r="E138" s="66"/>
      <c r="F138" s="66"/>
      <c r="G138" s="43" t="s">
        <v>798</v>
      </c>
      <c r="H138" s="226">
        <f>+H139</f>
        <v>0</v>
      </c>
      <c r="I138"/>
      <c r="J138" s="2"/>
    </row>
    <row r="139" spans="1:10" s="48" customFormat="1" ht="15" customHeight="1">
      <c r="A139" s="221">
        <v>2</v>
      </c>
      <c r="B139" s="66">
        <v>1</v>
      </c>
      <c r="C139" s="66">
        <v>1</v>
      </c>
      <c r="D139" s="47" t="s">
        <v>666</v>
      </c>
      <c r="E139" s="66"/>
      <c r="F139" s="66"/>
      <c r="G139" s="46" t="s">
        <v>1162</v>
      </c>
      <c r="H139" s="222">
        <v>0</v>
      </c>
      <c r="J139" s="73"/>
    </row>
    <row r="140" spans="1:10" ht="15" customHeight="1">
      <c r="A140" s="224">
        <v>2</v>
      </c>
      <c r="B140" s="63">
        <v>1</v>
      </c>
      <c r="C140" s="63">
        <v>2</v>
      </c>
      <c r="D140" s="42"/>
      <c r="E140" s="42"/>
      <c r="F140" s="42"/>
      <c r="G140" s="43" t="s">
        <v>799</v>
      </c>
      <c r="H140" s="222">
        <f>+H141</f>
        <v>0</v>
      </c>
      <c r="I140"/>
      <c r="J140" s="2"/>
    </row>
    <row r="141" spans="1:10" ht="15" customHeight="1">
      <c r="A141" s="221">
        <v>2</v>
      </c>
      <c r="B141" s="66">
        <v>1</v>
      </c>
      <c r="C141" s="66">
        <v>2</v>
      </c>
      <c r="D141" s="47" t="s">
        <v>666</v>
      </c>
      <c r="E141" s="47"/>
      <c r="F141" s="47"/>
      <c r="G141" s="46" t="s">
        <v>1159</v>
      </c>
      <c r="H141" s="222">
        <v>0</v>
      </c>
      <c r="I141"/>
      <c r="J141" s="2"/>
    </row>
    <row r="142" spans="1:10" s="33" customFormat="1" ht="15" customHeight="1">
      <c r="A142" s="224">
        <v>2</v>
      </c>
      <c r="B142" s="63">
        <v>1</v>
      </c>
      <c r="C142" s="63">
        <v>3</v>
      </c>
      <c r="D142" s="42"/>
      <c r="E142" s="42"/>
      <c r="F142" s="42"/>
      <c r="G142" s="43" t="s">
        <v>800</v>
      </c>
      <c r="H142" s="226">
        <v>0</v>
      </c>
      <c r="J142" s="40"/>
    </row>
    <row r="143" spans="1:10" ht="15" customHeight="1">
      <c r="A143" s="224">
        <v>2</v>
      </c>
      <c r="B143" s="63">
        <v>2</v>
      </c>
      <c r="C143" s="66"/>
      <c r="D143" s="66"/>
      <c r="E143" s="66"/>
      <c r="F143" s="66"/>
      <c r="G143" s="217" t="s">
        <v>21</v>
      </c>
      <c r="H143" s="225">
        <f>+H144+H149+H152+H155+H159+H162+H165</f>
        <v>10560</v>
      </c>
      <c r="I143"/>
      <c r="J143" s="2"/>
    </row>
    <row r="144" spans="1:10" ht="15" customHeight="1">
      <c r="A144" s="224">
        <v>2</v>
      </c>
      <c r="B144" s="63">
        <v>2</v>
      </c>
      <c r="C144" s="63">
        <v>1</v>
      </c>
      <c r="D144" s="42"/>
      <c r="E144" s="42"/>
      <c r="F144" s="42"/>
      <c r="G144" s="43" t="s">
        <v>1069</v>
      </c>
      <c r="H144" s="226">
        <f>+SUM(H145:H148)</f>
        <v>10560</v>
      </c>
      <c r="I144"/>
      <c r="J144" s="2"/>
    </row>
    <row r="145" spans="1:10" ht="15" customHeight="1">
      <c r="A145" s="221">
        <v>2</v>
      </c>
      <c r="B145" s="66">
        <v>2</v>
      </c>
      <c r="C145" s="66">
        <v>1</v>
      </c>
      <c r="D145" s="47" t="s">
        <v>666</v>
      </c>
      <c r="E145" s="47"/>
      <c r="F145" s="47"/>
      <c r="G145" s="46" t="s">
        <v>1160</v>
      </c>
      <c r="H145" s="222">
        <v>110</v>
      </c>
      <c r="I145"/>
      <c r="J145" s="2"/>
    </row>
    <row r="146" spans="1:10" ht="15" customHeight="1">
      <c r="A146" s="221">
        <v>2</v>
      </c>
      <c r="B146" s="66">
        <v>2</v>
      </c>
      <c r="C146" s="66">
        <v>1</v>
      </c>
      <c r="D146" s="47" t="s">
        <v>668</v>
      </c>
      <c r="E146" s="47"/>
      <c r="F146" s="47"/>
      <c r="G146" s="46" t="s">
        <v>1161</v>
      </c>
      <c r="H146" s="222">
        <v>0</v>
      </c>
      <c r="I146"/>
      <c r="J146" s="2"/>
    </row>
    <row r="147" spans="1:10" ht="15" customHeight="1">
      <c r="A147" s="221">
        <v>2</v>
      </c>
      <c r="B147" s="66">
        <v>2</v>
      </c>
      <c r="C147" s="66">
        <v>1</v>
      </c>
      <c r="D147" s="47" t="s">
        <v>670</v>
      </c>
      <c r="E147" s="47"/>
      <c r="F147" s="47"/>
      <c r="G147" s="46" t="s">
        <v>1070</v>
      </c>
      <c r="H147" s="222">
        <v>10450</v>
      </c>
      <c r="I147" s="1"/>
      <c r="J147" s="2"/>
    </row>
    <row r="148" spans="1:10" ht="15" customHeight="1">
      <c r="A148" s="221">
        <v>2</v>
      </c>
      <c r="B148" s="66">
        <v>2</v>
      </c>
      <c r="C148" s="66">
        <v>1</v>
      </c>
      <c r="D148" s="47" t="s">
        <v>672</v>
      </c>
      <c r="E148" s="47"/>
      <c r="F148" s="47"/>
      <c r="G148" s="218" t="s">
        <v>1071</v>
      </c>
      <c r="H148" s="222">
        <v>0</v>
      </c>
      <c r="I148"/>
      <c r="J148" s="2"/>
    </row>
    <row r="149" spans="1:10" ht="15" customHeight="1">
      <c r="A149" s="224">
        <v>2</v>
      </c>
      <c r="B149" s="63">
        <v>2</v>
      </c>
      <c r="C149" s="63">
        <v>2</v>
      </c>
      <c r="D149" s="42"/>
      <c r="E149" s="42"/>
      <c r="F149" s="42"/>
      <c r="G149" s="43" t="s">
        <v>801</v>
      </c>
      <c r="H149" s="226">
        <f>+SUM(H150:H151)</f>
        <v>0</v>
      </c>
      <c r="I149"/>
      <c r="J149" s="2"/>
    </row>
    <row r="150" spans="1:10" ht="15" customHeight="1">
      <c r="A150" s="221">
        <v>2</v>
      </c>
      <c r="B150" s="66">
        <v>2</v>
      </c>
      <c r="C150" s="66">
        <v>2</v>
      </c>
      <c r="D150" s="47" t="s">
        <v>666</v>
      </c>
      <c r="E150" s="47"/>
      <c r="F150" s="47"/>
      <c r="G150" s="46" t="s">
        <v>1163</v>
      </c>
      <c r="H150" s="222">
        <v>0</v>
      </c>
      <c r="I150"/>
      <c r="J150" s="2"/>
    </row>
    <row r="151" spans="1:10" ht="15" customHeight="1">
      <c r="A151" s="221">
        <v>2</v>
      </c>
      <c r="B151" s="66">
        <v>2</v>
      </c>
      <c r="C151" s="66">
        <v>2</v>
      </c>
      <c r="D151" s="47" t="s">
        <v>668</v>
      </c>
      <c r="E151" s="47"/>
      <c r="F151" s="47"/>
      <c r="G151" s="46" t="s">
        <v>1164</v>
      </c>
      <c r="H151" s="222">
        <v>0</v>
      </c>
      <c r="I151"/>
      <c r="J151" s="2"/>
    </row>
    <row r="152" spans="1:10" ht="15" customHeight="1">
      <c r="A152" s="224">
        <v>2</v>
      </c>
      <c r="B152" s="63">
        <v>2</v>
      </c>
      <c r="C152" s="63">
        <v>3</v>
      </c>
      <c r="D152" s="42"/>
      <c r="E152" s="42"/>
      <c r="F152" s="42"/>
      <c r="G152" s="43" t="s">
        <v>802</v>
      </c>
      <c r="H152" s="226">
        <f>+SUM(H153:H154)</f>
        <v>0</v>
      </c>
      <c r="I152"/>
      <c r="J152" s="2"/>
    </row>
    <row r="153" spans="1:10" ht="15" customHeight="1">
      <c r="A153" s="221">
        <v>2</v>
      </c>
      <c r="B153" s="66">
        <v>2</v>
      </c>
      <c r="C153" s="66">
        <v>3</v>
      </c>
      <c r="D153" s="47" t="s">
        <v>666</v>
      </c>
      <c r="E153" s="47"/>
      <c r="F153" s="47"/>
      <c r="G153" s="46" t="s">
        <v>1165</v>
      </c>
      <c r="H153" s="222">
        <v>0</v>
      </c>
      <c r="I153"/>
      <c r="J153" s="2"/>
    </row>
    <row r="154" spans="1:10" ht="15" customHeight="1">
      <c r="A154" s="221">
        <v>2</v>
      </c>
      <c r="B154" s="66">
        <v>2</v>
      </c>
      <c r="C154" s="66">
        <v>3</v>
      </c>
      <c r="D154" s="47" t="s">
        <v>668</v>
      </c>
      <c r="E154" s="47"/>
      <c r="F154" s="47"/>
      <c r="G154" s="46" t="s">
        <v>1166</v>
      </c>
      <c r="H154" s="222">
        <v>0</v>
      </c>
      <c r="I154"/>
      <c r="J154" s="2"/>
    </row>
    <row r="155" spans="1:10" ht="15" customHeight="1">
      <c r="A155" s="224">
        <v>2</v>
      </c>
      <c r="B155" s="63">
        <v>2</v>
      </c>
      <c r="C155" s="63">
        <v>4</v>
      </c>
      <c r="D155" s="42"/>
      <c r="E155" s="42"/>
      <c r="F155" s="42"/>
      <c r="G155" s="43" t="s">
        <v>803</v>
      </c>
      <c r="H155" s="226">
        <f>+SUM(H156:H158)</f>
        <v>0</v>
      </c>
      <c r="I155"/>
      <c r="J155" s="2"/>
    </row>
    <row r="156" spans="1:10" ht="15" customHeight="1">
      <c r="A156" s="221">
        <v>2</v>
      </c>
      <c r="B156" s="66">
        <v>2</v>
      </c>
      <c r="C156" s="66">
        <v>4</v>
      </c>
      <c r="D156" s="47" t="s">
        <v>666</v>
      </c>
      <c r="E156" s="47"/>
      <c r="F156" s="47"/>
      <c r="G156" s="46" t="s">
        <v>1167</v>
      </c>
      <c r="H156" s="222">
        <v>0</v>
      </c>
      <c r="I156"/>
      <c r="J156" s="2"/>
    </row>
    <row r="157" spans="1:10" ht="15" customHeight="1">
      <c r="A157" s="221">
        <v>2</v>
      </c>
      <c r="B157" s="66">
        <v>2</v>
      </c>
      <c r="C157" s="66">
        <v>4</v>
      </c>
      <c r="D157" s="47" t="s">
        <v>668</v>
      </c>
      <c r="E157" s="47"/>
      <c r="F157" s="47"/>
      <c r="G157" s="46" t="s">
        <v>1168</v>
      </c>
      <c r="H157" s="222">
        <v>0</v>
      </c>
      <c r="I157"/>
      <c r="J157" s="2"/>
    </row>
    <row r="158" spans="1:10" ht="15" customHeight="1">
      <c r="A158" s="221">
        <v>2</v>
      </c>
      <c r="B158" s="66">
        <v>2</v>
      </c>
      <c r="C158" s="66">
        <v>4</v>
      </c>
      <c r="D158" s="47" t="s">
        <v>670</v>
      </c>
      <c r="E158" s="47"/>
      <c r="F158" s="47"/>
      <c r="G158" s="46" t="s">
        <v>399</v>
      </c>
      <c r="H158" s="222"/>
      <c r="I158"/>
      <c r="J158" s="2"/>
    </row>
    <row r="159" spans="1:10" ht="15" customHeight="1">
      <c r="A159" s="224">
        <v>2</v>
      </c>
      <c r="B159" s="63">
        <v>2</v>
      </c>
      <c r="C159" s="63">
        <v>5</v>
      </c>
      <c r="D159" s="42"/>
      <c r="E159" s="42"/>
      <c r="F159" s="42"/>
      <c r="G159" s="43" t="s">
        <v>804</v>
      </c>
      <c r="H159" s="226">
        <f>+SUM(H160:H161)</f>
        <v>0</v>
      </c>
      <c r="I159"/>
      <c r="J159" s="2"/>
    </row>
    <row r="160" spans="1:10" ht="15" customHeight="1">
      <c r="A160" s="221">
        <v>2</v>
      </c>
      <c r="B160" s="66">
        <v>2</v>
      </c>
      <c r="C160" s="66">
        <v>5</v>
      </c>
      <c r="D160" s="47" t="s">
        <v>666</v>
      </c>
      <c r="E160" s="47"/>
      <c r="F160" s="47"/>
      <c r="G160" s="46" t="s">
        <v>1169</v>
      </c>
      <c r="H160" s="222">
        <v>0</v>
      </c>
      <c r="I160"/>
      <c r="J160" s="2"/>
    </row>
    <row r="161" spans="1:10" ht="15" customHeight="1">
      <c r="A161" s="221">
        <v>2</v>
      </c>
      <c r="B161" s="66">
        <v>2</v>
      </c>
      <c r="C161" s="66">
        <v>5</v>
      </c>
      <c r="D161" s="47" t="s">
        <v>668</v>
      </c>
      <c r="E161" s="47"/>
      <c r="F161" s="47"/>
      <c r="G161" s="46" t="s">
        <v>1170</v>
      </c>
      <c r="H161" s="222">
        <v>0</v>
      </c>
      <c r="I161"/>
      <c r="J161" s="2"/>
    </row>
    <row r="162" spans="1:10" ht="15" customHeight="1">
      <c r="A162" s="224">
        <v>2</v>
      </c>
      <c r="B162" s="63">
        <v>2</v>
      </c>
      <c r="C162" s="63">
        <v>6</v>
      </c>
      <c r="D162" s="42"/>
      <c r="E162" s="42"/>
      <c r="F162" s="42"/>
      <c r="G162" s="43" t="s">
        <v>0</v>
      </c>
      <c r="H162" s="226">
        <f>+SUM(H163:H164)</f>
        <v>0</v>
      </c>
      <c r="I162"/>
      <c r="J162" s="2"/>
    </row>
    <row r="163" spans="1:10" ht="15" customHeight="1">
      <c r="A163" s="221">
        <v>2</v>
      </c>
      <c r="B163" s="66">
        <v>2</v>
      </c>
      <c r="C163" s="66">
        <v>6</v>
      </c>
      <c r="D163" s="47" t="s">
        <v>666</v>
      </c>
      <c r="E163" s="47"/>
      <c r="F163" s="47"/>
      <c r="G163" s="46" t="s">
        <v>2</v>
      </c>
      <c r="H163" s="222">
        <v>0</v>
      </c>
      <c r="I163"/>
      <c r="J163" s="2"/>
    </row>
    <row r="164" spans="1:10" ht="15" customHeight="1">
      <c r="A164" s="221">
        <v>2</v>
      </c>
      <c r="B164" s="66">
        <v>2</v>
      </c>
      <c r="C164" s="66">
        <v>6</v>
      </c>
      <c r="D164" s="47" t="s">
        <v>668</v>
      </c>
      <c r="E164" s="47"/>
      <c r="F164" s="47"/>
      <c r="G164" s="46" t="s">
        <v>3</v>
      </c>
      <c r="H164" s="222">
        <v>0</v>
      </c>
      <c r="I164"/>
      <c r="J164" s="2"/>
    </row>
    <row r="165" spans="1:10" ht="15" customHeight="1">
      <c r="A165" s="224">
        <v>2</v>
      </c>
      <c r="B165" s="63">
        <v>2</v>
      </c>
      <c r="C165" s="63">
        <v>7</v>
      </c>
      <c r="D165" s="42"/>
      <c r="E165" s="42"/>
      <c r="F165" s="42"/>
      <c r="G165" s="43" t="s">
        <v>1072</v>
      </c>
      <c r="H165" s="226">
        <f>+SUM(H166)</f>
        <v>0</v>
      </c>
      <c r="I165"/>
      <c r="J165" s="2"/>
    </row>
    <row r="166" spans="1:10" ht="15" customHeight="1">
      <c r="A166" s="221">
        <v>2</v>
      </c>
      <c r="B166" s="66">
        <v>2</v>
      </c>
      <c r="C166" s="66">
        <v>7</v>
      </c>
      <c r="D166" s="47" t="s">
        <v>666</v>
      </c>
      <c r="E166" s="47"/>
      <c r="F166" s="47"/>
      <c r="G166" s="46" t="s">
        <v>4</v>
      </c>
      <c r="H166" s="222">
        <v>0</v>
      </c>
      <c r="I166"/>
      <c r="J166" s="2"/>
    </row>
    <row r="167" spans="1:10" ht="15" customHeight="1">
      <c r="A167" s="221">
        <v>2</v>
      </c>
      <c r="B167" s="66">
        <v>2</v>
      </c>
      <c r="C167" s="66">
        <v>2</v>
      </c>
      <c r="D167" s="47" t="s">
        <v>668</v>
      </c>
      <c r="E167" s="47"/>
      <c r="F167" s="47"/>
      <c r="G167" s="46" t="s">
        <v>1073</v>
      </c>
      <c r="H167" s="222">
        <v>0</v>
      </c>
      <c r="I167"/>
      <c r="J167" s="2"/>
    </row>
    <row r="168" spans="1:10" ht="15" customHeight="1">
      <c r="A168" s="224">
        <v>2</v>
      </c>
      <c r="B168" s="63">
        <v>3</v>
      </c>
      <c r="C168" s="66"/>
      <c r="D168" s="66"/>
      <c r="E168" s="66"/>
      <c r="F168" s="66"/>
      <c r="G168" s="217" t="s">
        <v>805</v>
      </c>
      <c r="H168" s="225">
        <f>+H169+H170</f>
        <v>0</v>
      </c>
      <c r="I168"/>
      <c r="J168" s="2"/>
    </row>
    <row r="169" spans="1:10" ht="15" customHeight="1">
      <c r="A169" s="224">
        <v>2</v>
      </c>
      <c r="B169" s="63">
        <v>3</v>
      </c>
      <c r="C169" s="63">
        <v>1</v>
      </c>
      <c r="D169" s="42"/>
      <c r="E169" s="42"/>
      <c r="F169" s="42"/>
      <c r="G169" s="43" t="s">
        <v>806</v>
      </c>
      <c r="H169" s="226">
        <v>0</v>
      </c>
      <c r="I169"/>
      <c r="J169" s="2"/>
    </row>
    <row r="170" spans="1:10" ht="15" customHeight="1">
      <c r="A170" s="224">
        <v>2</v>
      </c>
      <c r="B170" s="63">
        <v>3</v>
      </c>
      <c r="C170" s="63">
        <v>2</v>
      </c>
      <c r="D170" s="47"/>
      <c r="E170" s="47"/>
      <c r="F170" s="47"/>
      <c r="G170" s="43" t="s">
        <v>5</v>
      </c>
      <c r="H170" s="226"/>
      <c r="I170"/>
      <c r="J170" s="2"/>
    </row>
    <row r="171" spans="1:10" s="38" customFormat="1" ht="15" customHeight="1">
      <c r="A171" s="227">
        <v>2</v>
      </c>
      <c r="B171" s="42">
        <v>4</v>
      </c>
      <c r="C171" s="42"/>
      <c r="D171" s="42"/>
      <c r="E171" s="42"/>
      <c r="F171" s="42"/>
      <c r="G171" s="217" t="s">
        <v>807</v>
      </c>
      <c r="H171" s="225">
        <f>+H172</f>
        <v>0</v>
      </c>
      <c r="J171" s="39"/>
    </row>
    <row r="172" spans="1:10" ht="12.75" customHeight="1">
      <c r="A172" s="228">
        <v>2</v>
      </c>
      <c r="B172" s="47">
        <v>4</v>
      </c>
      <c r="C172" s="47">
        <v>2</v>
      </c>
      <c r="D172" s="47"/>
      <c r="E172" s="47"/>
      <c r="F172" s="47"/>
      <c r="G172" s="43" t="s">
        <v>808</v>
      </c>
      <c r="H172" s="226">
        <v>0</v>
      </c>
      <c r="I172"/>
      <c r="J172" s="2"/>
    </row>
    <row r="173" spans="1:10" s="38" customFormat="1" ht="15" customHeight="1">
      <c r="A173" s="227">
        <v>2</v>
      </c>
      <c r="B173" s="42" t="s">
        <v>938</v>
      </c>
      <c r="C173" s="42"/>
      <c r="D173" s="42"/>
      <c r="E173" s="42"/>
      <c r="F173" s="42"/>
      <c r="G173" s="217" t="s">
        <v>126</v>
      </c>
      <c r="H173" s="225">
        <f>+H174+H177</f>
        <v>10072800</v>
      </c>
      <c r="J173" s="39"/>
    </row>
    <row r="174" spans="1:10" s="38" customFormat="1" ht="15" customHeight="1">
      <c r="A174" s="227" t="s">
        <v>1085</v>
      </c>
      <c r="B174" s="42" t="s">
        <v>938</v>
      </c>
      <c r="C174" s="42" t="s">
        <v>898</v>
      </c>
      <c r="D174" s="42"/>
      <c r="E174" s="42"/>
      <c r="F174" s="42"/>
      <c r="G174" s="43" t="s">
        <v>825</v>
      </c>
      <c r="H174" s="226">
        <f>+H175+H176</f>
        <v>6772800</v>
      </c>
      <c r="J174" s="39"/>
    </row>
    <row r="175" spans="1:10" s="38" customFormat="1" ht="15" customHeight="1">
      <c r="A175" s="228" t="s">
        <v>1085</v>
      </c>
      <c r="B175" s="47" t="s">
        <v>938</v>
      </c>
      <c r="C175" s="47" t="s">
        <v>898</v>
      </c>
      <c r="D175" s="47" t="s">
        <v>666</v>
      </c>
      <c r="E175" s="42"/>
      <c r="F175" s="42"/>
      <c r="G175" s="46" t="s">
        <v>526</v>
      </c>
      <c r="H175" s="222">
        <f>8060850-1288050</f>
        <v>6772800</v>
      </c>
      <c r="J175" s="39"/>
    </row>
    <row r="176" spans="1:10" ht="12.75" customHeight="1">
      <c r="A176" s="228" t="s">
        <v>1085</v>
      </c>
      <c r="B176" s="47" t="s">
        <v>938</v>
      </c>
      <c r="C176" s="47" t="s">
        <v>898</v>
      </c>
      <c r="D176" s="47" t="s">
        <v>668</v>
      </c>
      <c r="E176" s="47"/>
      <c r="F176" s="47"/>
      <c r="G176" s="46" t="s">
        <v>152</v>
      </c>
      <c r="H176" s="222"/>
      <c r="I176"/>
      <c r="J176" s="2"/>
    </row>
    <row r="177" spans="1:10" s="38" customFormat="1" ht="15" customHeight="1">
      <c r="A177" s="227" t="s">
        <v>1085</v>
      </c>
      <c r="B177" s="42" t="s">
        <v>938</v>
      </c>
      <c r="C177" s="42" t="s">
        <v>1085</v>
      </c>
      <c r="D177" s="42"/>
      <c r="E177" s="42"/>
      <c r="F177" s="42"/>
      <c r="G177" s="43" t="s">
        <v>824</v>
      </c>
      <c r="H177" s="226">
        <f>+H178</f>
        <v>3300000</v>
      </c>
      <c r="J177" s="39"/>
    </row>
    <row r="178" spans="1:10" s="38" customFormat="1" ht="15" customHeight="1">
      <c r="A178" s="228" t="s">
        <v>1085</v>
      </c>
      <c r="B178" s="47" t="s">
        <v>938</v>
      </c>
      <c r="C178" s="47" t="s">
        <v>1085</v>
      </c>
      <c r="D178" s="47" t="s">
        <v>666</v>
      </c>
      <c r="E178" s="42"/>
      <c r="F178" s="42"/>
      <c r="G178" s="46" t="s">
        <v>152</v>
      </c>
      <c r="H178" s="222">
        <f>1620000+1680000</f>
        <v>3300000</v>
      </c>
      <c r="J178" s="39"/>
    </row>
    <row r="179" spans="1:10" ht="15" customHeight="1">
      <c r="A179" s="228"/>
      <c r="B179" s="47"/>
      <c r="C179" s="47"/>
      <c r="D179" s="47"/>
      <c r="E179" s="47"/>
      <c r="F179" s="47"/>
      <c r="G179" s="216" t="s">
        <v>810</v>
      </c>
      <c r="H179" s="223">
        <f>+H136</f>
        <v>10083360</v>
      </c>
      <c r="I179"/>
      <c r="J179" s="2"/>
    </row>
    <row r="180" spans="1:10" ht="17.25" customHeight="1">
      <c r="A180" s="228"/>
      <c r="B180" s="47"/>
      <c r="C180" s="47"/>
      <c r="D180" s="47"/>
      <c r="E180" s="47"/>
      <c r="F180" s="47"/>
      <c r="G180" s="216" t="s">
        <v>552</v>
      </c>
      <c r="H180" s="223">
        <f>+H135+H179</f>
        <v>100852390</v>
      </c>
      <c r="I180"/>
      <c r="J180" s="2"/>
    </row>
    <row r="181" spans="1:10" ht="15" customHeight="1">
      <c r="A181" s="227">
        <v>7</v>
      </c>
      <c r="B181" s="47"/>
      <c r="C181" s="47"/>
      <c r="D181" s="47"/>
      <c r="E181" s="47"/>
      <c r="F181" s="66"/>
      <c r="G181" s="217" t="s">
        <v>634</v>
      </c>
      <c r="H181" s="223">
        <f>+H182+H192+H207+H208+H209</f>
        <v>8603062</v>
      </c>
      <c r="I181"/>
      <c r="J181" s="2"/>
    </row>
    <row r="182" spans="1:10" ht="15" customHeight="1">
      <c r="A182" s="227">
        <v>7</v>
      </c>
      <c r="B182" s="42">
        <v>1</v>
      </c>
      <c r="C182" s="42"/>
      <c r="D182" s="47"/>
      <c r="E182" s="47"/>
      <c r="F182" s="66"/>
      <c r="G182" s="217" t="s">
        <v>811</v>
      </c>
      <c r="H182" s="225">
        <f>+H183+H187</f>
        <v>4136750</v>
      </c>
      <c r="I182"/>
      <c r="J182" s="2"/>
    </row>
    <row r="183" spans="1:10" ht="15" customHeight="1">
      <c r="A183" s="227">
        <v>7</v>
      </c>
      <c r="B183" s="42">
        <v>1</v>
      </c>
      <c r="C183" s="42">
        <v>1</v>
      </c>
      <c r="D183" s="47"/>
      <c r="E183" s="47"/>
      <c r="F183" s="66"/>
      <c r="G183" s="43" t="s">
        <v>812</v>
      </c>
      <c r="H183" s="226">
        <f>+SUM(H184:H186)</f>
        <v>4136750</v>
      </c>
      <c r="I183"/>
      <c r="J183" s="2"/>
    </row>
    <row r="184" spans="1:10" ht="15" customHeight="1">
      <c r="A184" s="228">
        <v>7</v>
      </c>
      <c r="B184" s="47">
        <v>1</v>
      </c>
      <c r="C184" s="47">
        <v>1</v>
      </c>
      <c r="D184" s="47" t="s">
        <v>666</v>
      </c>
      <c r="E184" s="47"/>
      <c r="F184" s="66"/>
      <c r="G184" s="46" t="s">
        <v>813</v>
      </c>
      <c r="H184" s="222">
        <v>0</v>
      </c>
      <c r="I184"/>
      <c r="J184" s="2"/>
    </row>
    <row r="185" spans="1:10" ht="15" customHeight="1">
      <c r="A185" s="228">
        <v>7</v>
      </c>
      <c r="B185" s="47">
        <v>1</v>
      </c>
      <c r="C185" s="47">
        <v>1</v>
      </c>
      <c r="D185" s="47" t="s">
        <v>668</v>
      </c>
      <c r="E185" s="47"/>
      <c r="F185" s="66"/>
      <c r="G185" s="46" t="s">
        <v>814</v>
      </c>
      <c r="H185" s="222">
        <v>2000000</v>
      </c>
      <c r="I185"/>
      <c r="J185" s="2"/>
    </row>
    <row r="186" spans="1:10" ht="15" customHeight="1">
      <c r="A186" s="228">
        <v>7</v>
      </c>
      <c r="B186" s="47">
        <v>1</v>
      </c>
      <c r="C186" s="47">
        <v>1</v>
      </c>
      <c r="D186" s="47" t="s">
        <v>670</v>
      </c>
      <c r="E186" s="47"/>
      <c r="F186" s="66"/>
      <c r="G186" s="46" t="s">
        <v>815</v>
      </c>
      <c r="H186" s="222">
        <v>2136750</v>
      </c>
      <c r="I186"/>
      <c r="J186" s="2"/>
    </row>
    <row r="187" spans="1:10" ht="15" customHeight="1">
      <c r="A187" s="227">
        <v>7</v>
      </c>
      <c r="B187" s="42">
        <v>1</v>
      </c>
      <c r="C187" s="42">
        <v>2</v>
      </c>
      <c r="D187" s="47"/>
      <c r="E187" s="47"/>
      <c r="F187" s="66"/>
      <c r="G187" s="43" t="s">
        <v>816</v>
      </c>
      <c r="H187" s="226">
        <f>+SUM(H188:H191)</f>
        <v>0</v>
      </c>
      <c r="I187"/>
      <c r="J187" s="2"/>
    </row>
    <row r="188" spans="1:10" ht="15" customHeight="1">
      <c r="A188" s="228">
        <v>7</v>
      </c>
      <c r="B188" s="47">
        <v>1</v>
      </c>
      <c r="C188" s="47">
        <v>2</v>
      </c>
      <c r="D188" s="47" t="s">
        <v>666</v>
      </c>
      <c r="E188" s="47"/>
      <c r="F188" s="66"/>
      <c r="G188" s="46" t="s">
        <v>813</v>
      </c>
      <c r="H188" s="222">
        <v>0</v>
      </c>
      <c r="I188"/>
      <c r="J188" s="2"/>
    </row>
    <row r="189" spans="1:10" ht="15" customHeight="1">
      <c r="A189" s="228">
        <v>7</v>
      </c>
      <c r="B189" s="47">
        <v>1</v>
      </c>
      <c r="C189" s="47">
        <v>2</v>
      </c>
      <c r="D189" s="47" t="s">
        <v>668</v>
      </c>
      <c r="E189" s="47"/>
      <c r="F189" s="66"/>
      <c r="G189" s="46" t="s">
        <v>814</v>
      </c>
      <c r="H189" s="222">
        <v>0</v>
      </c>
      <c r="I189"/>
      <c r="J189" s="2"/>
    </row>
    <row r="190" spans="1:10" ht="15" customHeight="1">
      <c r="A190" s="228">
        <v>7</v>
      </c>
      <c r="B190" s="47">
        <v>1</v>
      </c>
      <c r="C190" s="47">
        <v>2</v>
      </c>
      <c r="D190" s="47" t="s">
        <v>670</v>
      </c>
      <c r="E190" s="47"/>
      <c r="F190" s="66"/>
      <c r="G190" s="46" t="s">
        <v>815</v>
      </c>
      <c r="H190" s="222"/>
      <c r="I190"/>
      <c r="J190" s="2"/>
    </row>
    <row r="191" spans="1:10" ht="15" customHeight="1">
      <c r="A191" s="228" t="s">
        <v>960</v>
      </c>
      <c r="B191" s="47" t="s">
        <v>898</v>
      </c>
      <c r="C191" s="47" t="s">
        <v>1085</v>
      </c>
      <c r="D191" s="47" t="s">
        <v>672</v>
      </c>
      <c r="E191" s="47"/>
      <c r="F191" s="66"/>
      <c r="G191" s="46" t="s">
        <v>39</v>
      </c>
      <c r="H191" s="222"/>
      <c r="I191"/>
      <c r="J191" s="2"/>
    </row>
    <row r="192" spans="1:10" s="38" customFormat="1" ht="15" customHeight="1">
      <c r="A192" s="227">
        <v>7</v>
      </c>
      <c r="B192" s="42">
        <v>2</v>
      </c>
      <c r="C192" s="42"/>
      <c r="D192" s="42"/>
      <c r="E192" s="42"/>
      <c r="F192" s="63"/>
      <c r="G192" s="217" t="s">
        <v>817</v>
      </c>
      <c r="H192" s="225">
        <f>+H193+H203+H204+H205</f>
        <v>0</v>
      </c>
      <c r="J192" s="39"/>
    </row>
    <row r="193" spans="1:10" ht="15" customHeight="1" thickBot="1">
      <c r="A193" s="229">
        <v>7</v>
      </c>
      <c r="B193" s="230">
        <v>2</v>
      </c>
      <c r="C193" s="230">
        <v>1</v>
      </c>
      <c r="D193" s="231"/>
      <c r="E193" s="231"/>
      <c r="F193" s="232"/>
      <c r="G193" s="233" t="s">
        <v>818</v>
      </c>
      <c r="H193" s="234">
        <f>+H201+H202</f>
        <v>0</v>
      </c>
      <c r="I193"/>
      <c r="J193" s="2"/>
    </row>
    <row r="194" spans="1:7" ht="12.75">
      <c r="A194" s="72">
        <f>+A126</f>
        <v>0</v>
      </c>
      <c r="B194" s="55"/>
      <c r="G194" s="67" t="s">
        <v>364</v>
      </c>
    </row>
    <row r="195" spans="1:7" ht="15">
      <c r="A195" s="761" t="s">
        <v>382</v>
      </c>
      <c r="B195" s="761"/>
      <c r="C195" s="761"/>
      <c r="D195" s="761"/>
      <c r="E195" s="761"/>
      <c r="F195" s="761"/>
      <c r="G195" s="761"/>
    </row>
    <row r="197" spans="1:7" ht="12.75">
      <c r="A197" s="764" t="s">
        <v>620</v>
      </c>
      <c r="B197" s="764"/>
      <c r="C197" s="764"/>
      <c r="D197" s="764"/>
      <c r="E197" s="764"/>
      <c r="F197" s="764"/>
      <c r="G197" s="764"/>
    </row>
    <row r="198" ht="13.5" thickBot="1"/>
    <row r="199" spans="1:10" ht="13.5" thickBot="1">
      <c r="A199" s="765" t="s">
        <v>621</v>
      </c>
      <c r="B199" s="766"/>
      <c r="C199" s="766"/>
      <c r="D199" s="766"/>
      <c r="E199" s="767"/>
      <c r="F199" s="179"/>
      <c r="G199" s="180" t="s">
        <v>22</v>
      </c>
      <c r="H199" s="182" t="s">
        <v>537</v>
      </c>
      <c r="I199"/>
      <c r="J199" s="2"/>
    </row>
    <row r="200" spans="1:10" ht="13.5" thickBot="1">
      <c r="A200" s="179" t="s">
        <v>622</v>
      </c>
      <c r="B200" s="179" t="s">
        <v>1076</v>
      </c>
      <c r="C200" s="179" t="s">
        <v>623</v>
      </c>
      <c r="D200" s="179" t="s">
        <v>624</v>
      </c>
      <c r="E200" s="179" t="s">
        <v>625</v>
      </c>
      <c r="F200" s="179" t="s">
        <v>626</v>
      </c>
      <c r="G200" s="181"/>
      <c r="H200" s="183" t="s">
        <v>627</v>
      </c>
      <c r="I200"/>
      <c r="J200" s="2"/>
    </row>
    <row r="201" spans="1:10" ht="15" customHeight="1">
      <c r="A201" s="236" t="s">
        <v>960</v>
      </c>
      <c r="B201" s="209" t="s">
        <v>1085</v>
      </c>
      <c r="C201" s="209" t="s">
        <v>898</v>
      </c>
      <c r="D201" s="209" t="s">
        <v>666</v>
      </c>
      <c r="E201" s="209"/>
      <c r="F201" s="188"/>
      <c r="G201" s="235" t="s">
        <v>1086</v>
      </c>
      <c r="H201" s="237">
        <v>0</v>
      </c>
      <c r="I201"/>
      <c r="J201" s="2"/>
    </row>
    <row r="202" spans="1:10" ht="15" customHeight="1">
      <c r="A202" s="238" t="s">
        <v>960</v>
      </c>
      <c r="B202" s="197" t="s">
        <v>1085</v>
      </c>
      <c r="C202" s="197" t="s">
        <v>898</v>
      </c>
      <c r="D202" s="197" t="s">
        <v>668</v>
      </c>
      <c r="E202" s="197"/>
      <c r="F202" s="193"/>
      <c r="G202" s="200" t="s">
        <v>6</v>
      </c>
      <c r="H202" s="201">
        <v>0</v>
      </c>
      <c r="I202"/>
      <c r="J202" s="2"/>
    </row>
    <row r="203" spans="1:10" ht="17.25" customHeight="1">
      <c r="A203" s="239">
        <v>7</v>
      </c>
      <c r="B203" s="203">
        <v>2</v>
      </c>
      <c r="C203" s="203">
        <v>2</v>
      </c>
      <c r="D203" s="197"/>
      <c r="E203" s="197"/>
      <c r="F203" s="193"/>
      <c r="G203" s="198" t="s">
        <v>819</v>
      </c>
      <c r="H203" s="199">
        <v>0</v>
      </c>
      <c r="I203"/>
      <c r="J203" s="2"/>
    </row>
    <row r="204" spans="1:10" ht="15" customHeight="1">
      <c r="A204" s="239">
        <v>7</v>
      </c>
      <c r="B204" s="203">
        <v>2</v>
      </c>
      <c r="C204" s="203">
        <v>3</v>
      </c>
      <c r="D204" s="197"/>
      <c r="E204" s="197"/>
      <c r="F204" s="193"/>
      <c r="G204" s="198" t="s">
        <v>544</v>
      </c>
      <c r="H204" s="199">
        <v>0</v>
      </c>
      <c r="I204"/>
      <c r="J204" s="2"/>
    </row>
    <row r="205" spans="1:10" ht="15" customHeight="1">
      <c r="A205" s="239" t="s">
        <v>960</v>
      </c>
      <c r="B205" s="203" t="s">
        <v>1085</v>
      </c>
      <c r="C205" s="203" t="s">
        <v>933</v>
      </c>
      <c r="D205" s="197"/>
      <c r="E205" s="197"/>
      <c r="F205" s="193"/>
      <c r="G205" s="198" t="s">
        <v>7</v>
      </c>
      <c r="H205" s="199">
        <f>+H206</f>
        <v>0</v>
      </c>
      <c r="I205"/>
      <c r="J205" s="2"/>
    </row>
    <row r="206" spans="1:10" ht="15" customHeight="1">
      <c r="A206" s="238" t="s">
        <v>960</v>
      </c>
      <c r="B206" s="197" t="s">
        <v>1085</v>
      </c>
      <c r="C206" s="197" t="s">
        <v>933</v>
      </c>
      <c r="D206" s="197" t="s">
        <v>666</v>
      </c>
      <c r="E206" s="197"/>
      <c r="F206" s="193"/>
      <c r="G206" s="200" t="s">
        <v>8</v>
      </c>
      <c r="H206" s="199">
        <v>0</v>
      </c>
      <c r="I206"/>
      <c r="J206" s="2"/>
    </row>
    <row r="207" spans="1:10" ht="15" customHeight="1">
      <c r="A207" s="239">
        <v>7</v>
      </c>
      <c r="B207" s="203">
        <v>3</v>
      </c>
      <c r="C207" s="197"/>
      <c r="D207" s="197"/>
      <c r="E207" s="197"/>
      <c r="F207" s="193"/>
      <c r="G207" s="194" t="s">
        <v>822</v>
      </c>
      <c r="H207" s="195"/>
      <c r="I207"/>
      <c r="J207" s="2"/>
    </row>
    <row r="208" spans="1:10" ht="15" customHeight="1">
      <c r="A208" s="239">
        <v>7</v>
      </c>
      <c r="B208" s="203">
        <v>4</v>
      </c>
      <c r="C208" s="197"/>
      <c r="D208" s="197"/>
      <c r="E208" s="197"/>
      <c r="F208" s="193"/>
      <c r="G208" s="194" t="s">
        <v>820</v>
      </c>
      <c r="H208" s="195">
        <f>4000000+466312</f>
        <v>4466312</v>
      </c>
      <c r="I208"/>
      <c r="J208" s="2"/>
    </row>
    <row r="209" spans="1:10" ht="15" customHeight="1">
      <c r="A209" s="239">
        <v>7</v>
      </c>
      <c r="B209" s="203">
        <v>5</v>
      </c>
      <c r="C209" s="197"/>
      <c r="D209" s="197"/>
      <c r="E209" s="197"/>
      <c r="F209" s="193"/>
      <c r="G209" s="194" t="s">
        <v>821</v>
      </c>
      <c r="H209" s="195">
        <v>0</v>
      </c>
      <c r="I209"/>
      <c r="J209" s="2"/>
    </row>
    <row r="210" spans="1:10" ht="15" customHeight="1" thickBot="1">
      <c r="A210" s="204"/>
      <c r="B210" s="205"/>
      <c r="C210" s="205"/>
      <c r="D210" s="205"/>
      <c r="E210" s="205"/>
      <c r="F210" s="205"/>
      <c r="G210" s="207"/>
      <c r="H210" s="240"/>
      <c r="I210"/>
      <c r="J210" s="2"/>
    </row>
    <row r="211" spans="1:8" ht="15" customHeight="1" thickBot="1">
      <c r="A211" s="768" t="s">
        <v>635</v>
      </c>
      <c r="B211" s="769"/>
      <c r="C211" s="769"/>
      <c r="D211" s="769"/>
      <c r="E211" s="769"/>
      <c r="F211" s="769"/>
      <c r="G211" s="770"/>
      <c r="H211" s="241">
        <f>+H180+H181</f>
        <v>109455452</v>
      </c>
    </row>
    <row r="213" ht="12.75">
      <c r="H213" s="9"/>
    </row>
  </sheetData>
  <sheetProtection/>
  <mergeCells count="13">
    <mergeCell ref="A2:G2"/>
    <mergeCell ref="A4:G4"/>
    <mergeCell ref="A6:E6"/>
    <mergeCell ref="A199:E199"/>
    <mergeCell ref="A64:G64"/>
    <mergeCell ref="A66:G66"/>
    <mergeCell ref="A68:E68"/>
    <mergeCell ref="A127:G127"/>
    <mergeCell ref="A129:G129"/>
    <mergeCell ref="A131:E131"/>
    <mergeCell ref="A195:G195"/>
    <mergeCell ref="A197:G197"/>
    <mergeCell ref="A211:G211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6" r:id="rId1"/>
  <rowBreaks count="3" manualBreakCount="3">
    <brk id="62" max="255" man="1"/>
    <brk id="125" max="255" man="1"/>
    <brk id="193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60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1.28125" style="0" customWidth="1"/>
    <col min="2" max="2" width="48.140625" style="0" customWidth="1"/>
    <col min="3" max="3" width="23.00390625" style="88" bestFit="1" customWidth="1"/>
    <col min="4" max="4" width="22.421875" style="88" bestFit="1" customWidth="1"/>
    <col min="5" max="5" width="27.28125" style="88" customWidth="1"/>
    <col min="6" max="6" width="24.140625" style="88" bestFit="1" customWidth="1"/>
    <col min="7" max="7" width="0.71875" style="0" customWidth="1"/>
    <col min="8" max="8" width="7.421875" style="0" customWidth="1"/>
  </cols>
  <sheetData>
    <row r="1" spans="1:8" ht="33.75">
      <c r="A1" s="110"/>
      <c r="B1" s="111"/>
      <c r="C1" s="112"/>
      <c r="D1" s="112"/>
      <c r="E1" s="112"/>
      <c r="F1" s="112"/>
      <c r="G1" s="113"/>
      <c r="H1" s="113"/>
    </row>
    <row r="2" spans="1:8" ht="15">
      <c r="A2" s="133" t="s">
        <v>424</v>
      </c>
      <c r="B2" s="111"/>
      <c r="C2" s="112"/>
      <c r="D2" s="112"/>
      <c r="E2" s="112"/>
      <c r="F2" s="112"/>
      <c r="G2" s="113"/>
      <c r="H2" s="113"/>
    </row>
    <row r="3" spans="1:8" ht="15">
      <c r="A3" s="134" t="s">
        <v>575</v>
      </c>
      <c r="B3" s="111"/>
      <c r="C3" s="112"/>
      <c r="D3" s="112"/>
      <c r="E3" s="112"/>
      <c r="F3" s="112"/>
      <c r="G3" s="113"/>
      <c r="H3" s="113"/>
    </row>
    <row r="4" spans="1:8" ht="12.75">
      <c r="A4" s="111"/>
      <c r="B4" s="111"/>
      <c r="C4" s="112"/>
      <c r="D4" s="112"/>
      <c r="E4" s="112"/>
      <c r="F4" s="112"/>
      <c r="G4" s="113"/>
      <c r="H4" s="113"/>
    </row>
    <row r="5" spans="1:8" ht="20.25">
      <c r="A5" s="132" t="s">
        <v>576</v>
      </c>
      <c r="B5" s="111"/>
      <c r="C5" s="112"/>
      <c r="D5" s="112"/>
      <c r="E5" s="112"/>
      <c r="F5" s="112"/>
      <c r="G5" s="113"/>
      <c r="H5" s="113"/>
    </row>
    <row r="6" spans="1:8" ht="12.75">
      <c r="A6" s="111"/>
      <c r="B6" s="111"/>
      <c r="C6" s="112"/>
      <c r="D6" s="112"/>
      <c r="E6" s="112"/>
      <c r="F6" s="112"/>
      <c r="G6" s="113"/>
      <c r="H6" s="113"/>
    </row>
    <row r="7" spans="1:8" ht="21" thickBot="1">
      <c r="A7" s="814" t="s">
        <v>563</v>
      </c>
      <c r="B7" s="815"/>
      <c r="C7" s="815"/>
      <c r="D7" s="815"/>
      <c r="E7" s="815"/>
      <c r="F7" s="815"/>
      <c r="G7" s="113"/>
      <c r="H7" s="113"/>
    </row>
    <row r="8" spans="1:8" ht="13.5" thickBot="1">
      <c r="A8" s="111"/>
      <c r="B8" s="111"/>
      <c r="C8" s="112"/>
      <c r="D8" s="112"/>
      <c r="E8" s="112"/>
      <c r="F8" s="112"/>
      <c r="G8" s="113"/>
      <c r="H8" s="113"/>
    </row>
    <row r="9" spans="1:8" ht="12.75">
      <c r="A9" s="816" t="s">
        <v>425</v>
      </c>
      <c r="B9" s="818" t="s">
        <v>426</v>
      </c>
      <c r="C9" s="114" t="s">
        <v>427</v>
      </c>
      <c r="D9" s="115" t="s">
        <v>428</v>
      </c>
      <c r="E9" s="820" t="s">
        <v>429</v>
      </c>
      <c r="F9" s="116" t="s">
        <v>638</v>
      </c>
      <c r="G9" s="113"/>
      <c r="H9" s="113"/>
    </row>
    <row r="10" spans="1:8" ht="13.5" thickBot="1">
      <c r="A10" s="817"/>
      <c r="B10" s="819"/>
      <c r="C10" s="117" t="s">
        <v>430</v>
      </c>
      <c r="D10" s="118" t="s">
        <v>431</v>
      </c>
      <c r="E10" s="821"/>
      <c r="F10" s="119" t="s">
        <v>432</v>
      </c>
      <c r="G10" s="113"/>
      <c r="H10" s="113"/>
    </row>
    <row r="11" spans="1:8" ht="21">
      <c r="A11" s="120">
        <v>422</v>
      </c>
      <c r="B11" s="121" t="s">
        <v>433</v>
      </c>
      <c r="C11" s="596">
        <f>+'plan obras por area'!E32</f>
        <v>335760</v>
      </c>
      <c r="D11" s="597">
        <f>+'plan obras por area'!F32</f>
        <v>2196840</v>
      </c>
      <c r="E11" s="598">
        <f>+'plan obras por area'!G44</f>
        <v>4470610</v>
      </c>
      <c r="F11" s="599">
        <f>SUM(C11:E11)</f>
        <v>7003210</v>
      </c>
      <c r="G11" s="113"/>
      <c r="H11" s="113"/>
    </row>
    <row r="12" spans="1:8" ht="21">
      <c r="A12" s="120">
        <v>423</v>
      </c>
      <c r="B12" s="122" t="s">
        <v>434</v>
      </c>
      <c r="C12" s="600">
        <f>+'plan obras por area'!E80</f>
        <v>1091430</v>
      </c>
      <c r="D12" s="601">
        <f>+'plan obras por area'!F80</f>
        <v>2776060</v>
      </c>
      <c r="E12" s="571">
        <f>+'plan obras por area'!G82</f>
        <v>378030</v>
      </c>
      <c r="F12" s="602">
        <f>SUM(C12:E12)</f>
        <v>4245520</v>
      </c>
      <c r="G12" s="113"/>
      <c r="H12" s="113"/>
    </row>
    <row r="13" spans="1:8" ht="21.75" thickBot="1">
      <c r="A13" s="120">
        <v>424</v>
      </c>
      <c r="B13" s="123" t="s">
        <v>435</v>
      </c>
      <c r="C13" s="603">
        <f>+'plan obras por area'!E111</f>
        <v>420000</v>
      </c>
      <c r="D13" s="604">
        <f>+'plan obras por area'!F111</f>
        <v>0</v>
      </c>
      <c r="E13" s="605"/>
      <c r="F13" s="606">
        <f>SUM(C13:E13)</f>
        <v>420000</v>
      </c>
      <c r="G13" s="113"/>
      <c r="H13" s="113"/>
    </row>
    <row r="14" spans="1:8" ht="19.5" thickBot="1">
      <c r="A14" s="124" t="s">
        <v>436</v>
      </c>
      <c r="B14" s="125"/>
      <c r="C14" s="607">
        <f>SUM(C11:C13)</f>
        <v>1847190</v>
      </c>
      <c r="D14" s="608">
        <f>SUM(D11:D13)</f>
        <v>4972900</v>
      </c>
      <c r="E14" s="609">
        <f>SUM(E11:E13)</f>
        <v>4848640</v>
      </c>
      <c r="F14" s="610">
        <f>SUM(F11:F13)</f>
        <v>11668730</v>
      </c>
      <c r="G14" s="113"/>
      <c r="H14" s="113"/>
    </row>
    <row r="15" spans="1:8" ht="12.75">
      <c r="A15" s="111"/>
      <c r="B15" s="111"/>
      <c r="C15" s="112"/>
      <c r="D15" s="112"/>
      <c r="E15" s="112"/>
      <c r="F15" s="112"/>
      <c r="G15" s="113"/>
      <c r="H15" s="113"/>
    </row>
    <row r="16" spans="1:8" ht="12.75">
      <c r="A16" s="111" t="s">
        <v>437</v>
      </c>
      <c r="B16" s="111"/>
      <c r="C16" s="112"/>
      <c r="D16" s="112"/>
      <c r="E16" s="112"/>
      <c r="F16" s="112"/>
      <c r="G16" s="113"/>
      <c r="H16" s="113"/>
    </row>
    <row r="17" spans="1:8" ht="12.75">
      <c r="A17" s="808" t="s">
        <v>438</v>
      </c>
      <c r="B17" s="809"/>
      <c r="C17" s="809"/>
      <c r="D17" s="809"/>
      <c r="E17" s="809"/>
      <c r="F17" s="809"/>
      <c r="G17" s="809"/>
      <c r="H17" s="809"/>
    </row>
    <row r="18" spans="1:8" ht="12.75">
      <c r="A18" s="810" t="s">
        <v>439</v>
      </c>
      <c r="B18" s="811"/>
      <c r="C18" s="811"/>
      <c r="D18" s="811"/>
      <c r="E18" s="811"/>
      <c r="F18" s="811"/>
      <c r="G18" s="127"/>
      <c r="H18" s="127"/>
    </row>
    <row r="19" spans="1:8" ht="12.75">
      <c r="A19" s="111"/>
      <c r="B19" s="111"/>
      <c r="C19" s="112"/>
      <c r="D19" s="112"/>
      <c r="E19" s="112"/>
      <c r="F19" s="112"/>
      <c r="G19" s="113"/>
      <c r="H19" s="113"/>
    </row>
    <row r="20" spans="1:8" ht="12.75">
      <c r="A20" s="111"/>
      <c r="B20" s="111"/>
      <c r="C20" s="112"/>
      <c r="D20" s="112"/>
      <c r="E20" s="112"/>
      <c r="F20" s="112"/>
      <c r="G20" s="113"/>
      <c r="H20" s="113"/>
    </row>
    <row r="21" spans="1:8" ht="12.75">
      <c r="A21" s="111"/>
      <c r="B21" s="111"/>
      <c r="C21" s="112"/>
      <c r="D21" s="112"/>
      <c r="E21" s="112"/>
      <c r="F21" s="112"/>
      <c r="G21" s="113"/>
      <c r="H21" s="113"/>
    </row>
    <row r="22" spans="1:8" ht="12.75">
      <c r="A22" s="111"/>
      <c r="B22" s="111"/>
      <c r="C22" s="112"/>
      <c r="D22" s="112"/>
      <c r="E22" s="112"/>
      <c r="F22" s="112"/>
      <c r="G22" s="113"/>
      <c r="H22" s="113"/>
    </row>
    <row r="23" spans="1:8" ht="12.75">
      <c r="A23" s="111"/>
      <c r="B23" s="111"/>
      <c r="C23" s="112"/>
      <c r="D23" s="112"/>
      <c r="E23" s="112"/>
      <c r="F23" s="112"/>
      <c r="G23" s="113"/>
      <c r="H23" s="113"/>
    </row>
    <row r="24" spans="1:8" ht="12.75">
      <c r="A24" s="111"/>
      <c r="B24" s="111"/>
      <c r="C24" s="112"/>
      <c r="D24" s="112"/>
      <c r="E24" s="112"/>
      <c r="F24" s="112"/>
      <c r="G24" s="113"/>
      <c r="H24" s="113"/>
    </row>
    <row r="25" spans="1:8" ht="12.75">
      <c r="A25" s="111"/>
      <c r="B25" s="111"/>
      <c r="C25" s="112"/>
      <c r="D25" s="112"/>
      <c r="E25" s="112"/>
      <c r="F25" s="112"/>
      <c r="G25" s="113"/>
      <c r="H25" s="113"/>
    </row>
    <row r="26" spans="1:8" ht="12.75">
      <c r="A26" s="111"/>
      <c r="B26" s="111"/>
      <c r="C26" s="112"/>
      <c r="D26" s="112"/>
      <c r="E26" s="112"/>
      <c r="F26" s="112"/>
      <c r="G26" s="113"/>
      <c r="H26" s="113"/>
    </row>
    <row r="27" spans="1:8" ht="12.75">
      <c r="A27" s="111"/>
      <c r="B27" s="111"/>
      <c r="C27" s="112"/>
      <c r="D27" s="112"/>
      <c r="E27" s="112"/>
      <c r="F27" s="112"/>
      <c r="G27" s="113"/>
      <c r="H27" s="113"/>
    </row>
    <row r="28" spans="1:8" ht="12.75">
      <c r="A28" s="111"/>
      <c r="B28" s="128" t="s">
        <v>440</v>
      </c>
      <c r="C28" s="129"/>
      <c r="D28" s="812" t="s">
        <v>441</v>
      </c>
      <c r="E28" s="812"/>
      <c r="F28" s="813"/>
      <c r="G28" s="113"/>
      <c r="H28" s="113"/>
    </row>
    <row r="29" spans="1:8" ht="12.75">
      <c r="A29" s="111"/>
      <c r="B29" s="111"/>
      <c r="C29" s="112"/>
      <c r="D29" s="112"/>
      <c r="E29" s="112"/>
      <c r="F29" s="112"/>
      <c r="G29" s="113"/>
      <c r="H29" s="113"/>
    </row>
    <row r="30" spans="1:8" ht="12.75">
      <c r="A30" s="113"/>
      <c r="B30" s="113"/>
      <c r="C30" s="130"/>
      <c r="D30" s="130"/>
      <c r="E30" s="130"/>
      <c r="F30" s="130"/>
      <c r="G30" s="113"/>
      <c r="H30" s="113"/>
    </row>
    <row r="31" spans="1:8" ht="12.75">
      <c r="A31" s="113"/>
      <c r="B31" s="113"/>
      <c r="C31" s="130"/>
      <c r="D31" s="130"/>
      <c r="E31" s="130"/>
      <c r="F31" s="130"/>
      <c r="G31" s="113"/>
      <c r="H31" s="113"/>
    </row>
    <row r="32" spans="1:8" ht="12.75">
      <c r="A32" s="113" t="s">
        <v>602</v>
      </c>
      <c r="B32" s="113"/>
      <c r="C32" s="130"/>
      <c r="D32" s="130"/>
      <c r="E32" s="130"/>
      <c r="F32" s="130"/>
      <c r="G32" s="113"/>
      <c r="H32" s="113"/>
    </row>
    <row r="33" spans="1:8" ht="12.75">
      <c r="A33" s="113" t="s">
        <v>442</v>
      </c>
      <c r="B33" s="113"/>
      <c r="C33" s="131"/>
      <c r="D33" s="130"/>
      <c r="E33" s="130"/>
      <c r="F33" s="130"/>
      <c r="G33" s="113"/>
      <c r="H33" s="113"/>
    </row>
  </sheetData>
  <sheetProtection/>
  <mergeCells count="7">
    <mergeCell ref="A17:H17"/>
    <mergeCell ref="A18:F18"/>
    <mergeCell ref="D28:F28"/>
    <mergeCell ref="A7:F7"/>
    <mergeCell ref="A9:A10"/>
    <mergeCell ref="B9:B10"/>
    <mergeCell ref="E9:E10"/>
  </mergeCells>
  <printOptions horizontalCentered="1"/>
  <pageMargins left="0.75" right="0.75" top="0.51" bottom="1" header="0" footer="0"/>
  <pageSetup horizontalDpi="600" verticalDpi="600" orientation="landscape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="75" zoomScaleNormal="75" zoomScalePageLayoutView="0" workbookViewId="0" topLeftCell="D25">
      <selection activeCell="D34" sqref="D34:E34"/>
    </sheetView>
  </sheetViews>
  <sheetFormatPr defaultColWidth="11.421875" defaultRowHeight="12.75"/>
  <cols>
    <col min="1" max="1" width="5.28125" style="0" customWidth="1"/>
    <col min="3" max="3" width="16.8515625" style="0" customWidth="1"/>
    <col min="4" max="4" width="90.8515625" style="0" customWidth="1"/>
    <col min="5" max="6" width="22.28125" style="0" bestFit="1" customWidth="1"/>
    <col min="7" max="7" width="22.421875" style="0" bestFit="1" customWidth="1"/>
  </cols>
  <sheetData>
    <row r="1" spans="1:7" s="142" customFormat="1" ht="21.75" customHeight="1">
      <c r="A1" s="140"/>
      <c r="B1" s="141"/>
      <c r="C1" s="141"/>
      <c r="D1" s="397"/>
      <c r="E1" s="141"/>
      <c r="F1" s="141"/>
      <c r="G1" s="141"/>
    </row>
    <row r="2" spans="1:8" s="142" customFormat="1" ht="20.25" customHeight="1">
      <c r="A2" s="398"/>
      <c r="B2" s="472" t="s">
        <v>424</v>
      </c>
      <c r="C2" s="473"/>
      <c r="D2" s="473"/>
      <c r="E2" s="473"/>
      <c r="F2" s="473"/>
      <c r="G2" s="473"/>
      <c r="H2" s="474"/>
    </row>
    <row r="3" spans="1:8" s="142" customFormat="1" ht="20.25" customHeight="1">
      <c r="A3" s="398"/>
      <c r="B3" s="475" t="s">
        <v>575</v>
      </c>
      <c r="C3" s="476"/>
      <c r="D3" s="476"/>
      <c r="E3" s="476"/>
      <c r="F3" s="476"/>
      <c r="G3" s="476"/>
      <c r="H3" s="396"/>
    </row>
    <row r="4" spans="1:8" s="142" customFormat="1" ht="9.75" customHeight="1">
      <c r="A4" s="140"/>
      <c r="B4" s="862" t="s">
        <v>576</v>
      </c>
      <c r="C4" s="863"/>
      <c r="D4" s="863"/>
      <c r="E4" s="863"/>
      <c r="F4" s="863"/>
      <c r="G4" s="863"/>
      <c r="H4" s="471"/>
    </row>
    <row r="5" spans="1:8" s="142" customFormat="1" ht="15.75" customHeight="1" thickBot="1">
      <c r="A5" s="398"/>
      <c r="B5" s="864"/>
      <c r="C5" s="865"/>
      <c r="D5" s="865"/>
      <c r="E5" s="865"/>
      <c r="F5" s="865"/>
      <c r="G5" s="865"/>
      <c r="H5" s="399"/>
    </row>
    <row r="6" spans="1:8" s="142" customFormat="1" ht="12" customHeight="1">
      <c r="A6" s="400"/>
      <c r="B6" s="824" t="s">
        <v>425</v>
      </c>
      <c r="C6" s="866"/>
      <c r="D6" s="828" t="s">
        <v>443</v>
      </c>
      <c r="E6" s="402" t="s">
        <v>427</v>
      </c>
      <c r="F6" s="403" t="s">
        <v>428</v>
      </c>
      <c r="G6" s="404" t="s">
        <v>638</v>
      </c>
      <c r="H6" s="401" t="s">
        <v>451</v>
      </c>
    </row>
    <row r="7" spans="1:11" s="142" customFormat="1" ht="12" customHeight="1" thickBot="1">
      <c r="A7" s="405"/>
      <c r="B7" s="867"/>
      <c r="C7" s="866"/>
      <c r="D7" s="829"/>
      <c r="E7" s="402" t="s">
        <v>430</v>
      </c>
      <c r="F7" s="403" t="s">
        <v>431</v>
      </c>
      <c r="G7" s="404" t="s">
        <v>432</v>
      </c>
      <c r="H7" s="406" t="s">
        <v>452</v>
      </c>
      <c r="J7" s="566"/>
      <c r="K7" s="567"/>
    </row>
    <row r="8" spans="1:11" s="142" customFormat="1" ht="15" customHeight="1" thickBot="1">
      <c r="A8" s="140"/>
      <c r="B8" s="868">
        <v>422</v>
      </c>
      <c r="C8" s="871" t="s">
        <v>433</v>
      </c>
      <c r="D8" s="407" t="s">
        <v>453</v>
      </c>
      <c r="E8" s="408"/>
      <c r="F8" s="409"/>
      <c r="G8" s="410"/>
      <c r="H8" s="411"/>
      <c r="J8" s="567"/>
      <c r="K8" s="567"/>
    </row>
    <row r="9" spans="1:11" s="142" customFormat="1" ht="15" customHeight="1">
      <c r="A9" s="140"/>
      <c r="B9" s="869"/>
      <c r="C9" s="872"/>
      <c r="D9" s="412" t="s">
        <v>577</v>
      </c>
      <c r="E9" s="568"/>
      <c r="F9" s="568">
        <v>384020</v>
      </c>
      <c r="G9" s="569">
        <f>+E9+F9</f>
        <v>384020</v>
      </c>
      <c r="H9" s="413"/>
      <c r="J9" s="567"/>
      <c r="K9" s="567"/>
    </row>
    <row r="10" spans="1:11" s="142" customFormat="1" ht="15" customHeight="1">
      <c r="A10" s="140"/>
      <c r="B10" s="869"/>
      <c r="C10" s="872"/>
      <c r="D10" s="414" t="s">
        <v>578</v>
      </c>
      <c r="E10" s="570"/>
      <c r="F10" s="570">
        <v>453990</v>
      </c>
      <c r="G10" s="571">
        <f>+E10+F10</f>
        <v>453990</v>
      </c>
      <c r="H10" s="415"/>
      <c r="J10" s="567"/>
      <c r="K10" s="567"/>
    </row>
    <row r="11" spans="1:11" s="142" customFormat="1" ht="15" customHeight="1">
      <c r="A11" s="140"/>
      <c r="B11" s="869"/>
      <c r="C11" s="872"/>
      <c r="D11" s="414" t="s">
        <v>348</v>
      </c>
      <c r="E11" s="570">
        <v>123960</v>
      </c>
      <c r="F11" s="570"/>
      <c r="G11" s="571">
        <f>+E11+F11</f>
        <v>123960</v>
      </c>
      <c r="H11" s="415"/>
      <c r="J11" s="567"/>
      <c r="K11" s="567"/>
    </row>
    <row r="12" spans="1:11" s="142" customFormat="1" ht="15" customHeight="1">
      <c r="A12" s="140"/>
      <c r="B12" s="869"/>
      <c r="C12" s="872"/>
      <c r="D12" s="414" t="s">
        <v>579</v>
      </c>
      <c r="E12" s="570"/>
      <c r="F12" s="570">
        <v>120210</v>
      </c>
      <c r="G12" s="571">
        <f>+E12+F12</f>
        <v>120210</v>
      </c>
      <c r="H12" s="415"/>
      <c r="J12" s="567"/>
      <c r="K12" s="567"/>
    </row>
    <row r="13" spans="1:11" s="142" customFormat="1" ht="15" customHeight="1">
      <c r="A13" s="140"/>
      <c r="B13" s="869"/>
      <c r="C13" s="872"/>
      <c r="D13" s="416" t="s">
        <v>580</v>
      </c>
      <c r="E13" s="572"/>
      <c r="F13" s="570">
        <v>128160</v>
      </c>
      <c r="G13" s="571">
        <f aca="true" t="shared" si="0" ref="G13:G21">+E13+F13</f>
        <v>128160</v>
      </c>
      <c r="H13" s="415"/>
      <c r="J13" s="567"/>
      <c r="K13" s="567"/>
    </row>
    <row r="14" spans="1:11" s="142" customFormat="1" ht="15" customHeight="1">
      <c r="A14" s="140"/>
      <c r="B14" s="869"/>
      <c r="C14" s="872"/>
      <c r="D14" s="416" t="s">
        <v>581</v>
      </c>
      <c r="E14" s="572"/>
      <c r="F14" s="572">
        <v>170780</v>
      </c>
      <c r="G14" s="571">
        <f t="shared" si="0"/>
        <v>170780</v>
      </c>
      <c r="H14" s="415"/>
      <c r="J14" s="567"/>
      <c r="K14" s="567"/>
    </row>
    <row r="15" spans="1:11" s="142" customFormat="1" ht="15" customHeight="1">
      <c r="A15" s="140"/>
      <c r="B15" s="869"/>
      <c r="C15" s="872"/>
      <c r="D15" s="416" t="s">
        <v>582</v>
      </c>
      <c r="E15" s="572"/>
      <c r="F15" s="570">
        <v>457910</v>
      </c>
      <c r="G15" s="571">
        <f t="shared" si="0"/>
        <v>457910</v>
      </c>
      <c r="H15" s="415"/>
      <c r="J15" s="567"/>
      <c r="K15" s="567"/>
    </row>
    <row r="16" spans="1:11" s="142" customFormat="1" ht="15" customHeight="1">
      <c r="A16" s="140"/>
      <c r="B16" s="869"/>
      <c r="C16" s="872"/>
      <c r="D16" s="416" t="s">
        <v>583</v>
      </c>
      <c r="E16" s="572"/>
      <c r="F16" s="572">
        <v>49940</v>
      </c>
      <c r="G16" s="571">
        <f t="shared" si="0"/>
        <v>49940</v>
      </c>
      <c r="H16" s="415"/>
      <c r="J16" s="567"/>
      <c r="K16" s="567"/>
    </row>
    <row r="17" spans="1:11" s="142" customFormat="1" ht="15" customHeight="1">
      <c r="A17" s="140"/>
      <c r="B17" s="869"/>
      <c r="C17" s="872"/>
      <c r="D17" s="416" t="s">
        <v>584</v>
      </c>
      <c r="E17" s="572">
        <v>77500</v>
      </c>
      <c r="F17" s="570"/>
      <c r="G17" s="571">
        <f t="shared" si="0"/>
        <v>77500</v>
      </c>
      <c r="H17" s="417"/>
      <c r="J17" s="567"/>
      <c r="K17" s="567"/>
    </row>
    <row r="18" spans="1:11" s="142" customFormat="1" ht="15" customHeight="1">
      <c r="A18" s="140"/>
      <c r="B18" s="869"/>
      <c r="C18" s="872"/>
      <c r="D18" s="416" t="s">
        <v>585</v>
      </c>
      <c r="E18" s="572">
        <v>25000</v>
      </c>
      <c r="F18" s="570"/>
      <c r="G18" s="571">
        <f t="shared" si="0"/>
        <v>25000</v>
      </c>
      <c r="H18" s="417"/>
      <c r="J18" s="567"/>
      <c r="K18" s="567"/>
    </row>
    <row r="19" spans="1:11" s="142" customFormat="1" ht="15" customHeight="1">
      <c r="A19" s="140"/>
      <c r="B19" s="869"/>
      <c r="C19" s="872"/>
      <c r="D19" s="416" t="s">
        <v>586</v>
      </c>
      <c r="E19" s="572">
        <v>17420</v>
      </c>
      <c r="F19" s="570"/>
      <c r="G19" s="571">
        <f t="shared" si="0"/>
        <v>17420</v>
      </c>
      <c r="H19" s="417"/>
      <c r="J19" s="567"/>
      <c r="K19" s="567"/>
    </row>
    <row r="20" spans="1:11" s="142" customFormat="1" ht="15" customHeight="1">
      <c r="A20" s="140"/>
      <c r="B20" s="869"/>
      <c r="C20" s="872"/>
      <c r="D20" s="416" t="s">
        <v>587</v>
      </c>
      <c r="E20" s="572">
        <v>22880</v>
      </c>
      <c r="F20" s="570"/>
      <c r="G20" s="571">
        <f t="shared" si="0"/>
        <v>22880</v>
      </c>
      <c r="H20" s="415"/>
      <c r="J20" s="567"/>
      <c r="K20" s="567"/>
    </row>
    <row r="21" spans="1:11" s="142" customFormat="1" ht="15" customHeight="1">
      <c r="A21" s="140"/>
      <c r="B21" s="869"/>
      <c r="C21" s="872"/>
      <c r="D21" s="416" t="s">
        <v>454</v>
      </c>
      <c r="E21" s="572">
        <v>14640</v>
      </c>
      <c r="F21" s="570"/>
      <c r="G21" s="571">
        <f t="shared" si="0"/>
        <v>14640</v>
      </c>
      <c r="H21" s="415"/>
      <c r="J21" s="567"/>
      <c r="K21" s="567"/>
    </row>
    <row r="22" spans="1:11" s="142" customFormat="1" ht="15" customHeight="1" thickBot="1">
      <c r="A22" s="140"/>
      <c r="B22" s="869"/>
      <c r="C22" s="872"/>
      <c r="D22" s="418" t="s">
        <v>588</v>
      </c>
      <c r="E22" s="573">
        <v>15700</v>
      </c>
      <c r="F22" s="573"/>
      <c r="G22" s="574">
        <f>+E22+F22</f>
        <v>15700</v>
      </c>
      <c r="H22" s="419"/>
      <c r="J22" s="567"/>
      <c r="K22" s="567"/>
    </row>
    <row r="23" spans="1:11" s="142" customFormat="1" ht="15" customHeight="1">
      <c r="A23" s="140"/>
      <c r="B23" s="869"/>
      <c r="C23" s="872"/>
      <c r="D23" s="420" t="s">
        <v>455</v>
      </c>
      <c r="E23" s="568">
        <v>0</v>
      </c>
      <c r="F23" s="568"/>
      <c r="G23" s="569">
        <v>0</v>
      </c>
      <c r="H23" s="421"/>
      <c r="J23" s="567"/>
      <c r="K23" s="567"/>
    </row>
    <row r="24" spans="1:11" s="142" customFormat="1" ht="15" customHeight="1">
      <c r="A24" s="140"/>
      <c r="B24" s="869"/>
      <c r="C24" s="872"/>
      <c r="D24" s="422" t="s">
        <v>456</v>
      </c>
      <c r="E24" s="575">
        <v>23930</v>
      </c>
      <c r="F24" s="572"/>
      <c r="G24" s="576">
        <f>+E24+F24</f>
        <v>23930</v>
      </c>
      <c r="H24" s="415"/>
      <c r="J24" s="567"/>
      <c r="K24" s="567"/>
    </row>
    <row r="25" spans="1:11" s="142" customFormat="1" ht="15" customHeight="1">
      <c r="A25" s="140"/>
      <c r="B25" s="869"/>
      <c r="C25" s="872"/>
      <c r="D25" s="423" t="s">
        <v>457</v>
      </c>
      <c r="E25" s="572"/>
      <c r="F25" s="575">
        <v>204820</v>
      </c>
      <c r="G25" s="576">
        <f aca="true" t="shared" si="1" ref="G25:G30">+E25+F25</f>
        <v>204820</v>
      </c>
      <c r="H25" s="417"/>
      <c r="J25" s="567"/>
      <c r="K25" s="567"/>
    </row>
    <row r="26" spans="1:11" s="142" customFormat="1" ht="15" customHeight="1">
      <c r="A26" s="140"/>
      <c r="B26" s="869"/>
      <c r="C26" s="872"/>
      <c r="D26" s="422" t="s">
        <v>458</v>
      </c>
      <c r="E26" s="572"/>
      <c r="F26" s="575">
        <v>54040</v>
      </c>
      <c r="G26" s="576">
        <f t="shared" si="1"/>
        <v>54040</v>
      </c>
      <c r="H26" s="417"/>
      <c r="J26" s="567"/>
      <c r="K26" s="567"/>
    </row>
    <row r="27" spans="1:11" s="142" customFormat="1" ht="15" customHeight="1">
      <c r="A27" s="140"/>
      <c r="B27" s="869"/>
      <c r="C27" s="872"/>
      <c r="D27" s="422" t="s">
        <v>459</v>
      </c>
      <c r="E27" s="572"/>
      <c r="F27" s="575">
        <v>88390</v>
      </c>
      <c r="G27" s="576">
        <f t="shared" si="1"/>
        <v>88390</v>
      </c>
      <c r="H27" s="417"/>
      <c r="J27" s="567"/>
      <c r="K27" s="567"/>
    </row>
    <row r="28" spans="1:11" s="142" customFormat="1" ht="15" customHeight="1">
      <c r="A28" s="140"/>
      <c r="B28" s="869"/>
      <c r="C28" s="872"/>
      <c r="D28" s="422" t="s">
        <v>460</v>
      </c>
      <c r="E28" s="572"/>
      <c r="F28" s="575">
        <v>84580</v>
      </c>
      <c r="G28" s="576">
        <f t="shared" si="1"/>
        <v>84580</v>
      </c>
      <c r="H28" s="415"/>
      <c r="J28" s="567"/>
      <c r="K28" s="567"/>
    </row>
    <row r="29" spans="1:11" s="142" customFormat="1" ht="15" customHeight="1">
      <c r="A29" s="140"/>
      <c r="B29" s="869"/>
      <c r="C29" s="872"/>
      <c r="D29" s="424"/>
      <c r="E29" s="572"/>
      <c r="F29" s="575"/>
      <c r="G29" s="576">
        <f t="shared" si="1"/>
        <v>0</v>
      </c>
      <c r="H29" s="415"/>
      <c r="J29" s="567"/>
      <c r="K29" s="567"/>
    </row>
    <row r="30" spans="1:11" s="142" customFormat="1" ht="15" customHeight="1">
      <c r="A30" s="140"/>
      <c r="B30" s="869"/>
      <c r="C30" s="872"/>
      <c r="D30" s="422" t="s">
        <v>461</v>
      </c>
      <c r="E30" s="575">
        <v>14730</v>
      </c>
      <c r="F30" s="572"/>
      <c r="G30" s="576">
        <f t="shared" si="1"/>
        <v>14730</v>
      </c>
      <c r="H30" s="417"/>
      <c r="J30" s="567"/>
      <c r="K30" s="567"/>
    </row>
    <row r="31" spans="1:11" s="142" customFormat="1" ht="15" customHeight="1" thickBot="1">
      <c r="A31" s="140"/>
      <c r="B31" s="869"/>
      <c r="C31" s="872"/>
      <c r="D31" s="425"/>
      <c r="E31" s="577"/>
      <c r="F31" s="573"/>
      <c r="G31" s="574">
        <v>0</v>
      </c>
      <c r="H31" s="419"/>
      <c r="J31" s="567"/>
      <c r="K31" s="567"/>
    </row>
    <row r="32" spans="1:8" s="142" customFormat="1" ht="16.5" customHeight="1" thickBot="1">
      <c r="A32" s="426"/>
      <c r="B32" s="869"/>
      <c r="C32" s="872"/>
      <c r="D32" s="427" t="s">
        <v>589</v>
      </c>
      <c r="E32" s="578">
        <f>SUM(E9:E30)</f>
        <v>335760</v>
      </c>
      <c r="F32" s="578">
        <f>SUM(F9:F31)</f>
        <v>2196840</v>
      </c>
      <c r="G32" s="578">
        <f>SUM(G9:G31)</f>
        <v>2532600</v>
      </c>
      <c r="H32" s="428"/>
    </row>
    <row r="33" spans="1:9" s="113" customFormat="1" ht="15" customHeight="1" thickBot="1">
      <c r="A33" s="135"/>
      <c r="B33" s="869"/>
      <c r="C33" s="872"/>
      <c r="D33" s="429" t="s">
        <v>590</v>
      </c>
      <c r="E33" s="430"/>
      <c r="F33" s="430"/>
      <c r="G33" s="431"/>
      <c r="H33" s="432"/>
      <c r="I33" s="433"/>
    </row>
    <row r="34" spans="1:8" s="142" customFormat="1" ht="18">
      <c r="A34" s="140"/>
      <c r="B34" s="869"/>
      <c r="C34" s="872"/>
      <c r="D34" s="875" t="s">
        <v>591</v>
      </c>
      <c r="E34" s="876"/>
      <c r="F34" s="590">
        <v>266840</v>
      </c>
      <c r="G34" s="591"/>
      <c r="H34" s="415"/>
    </row>
    <row r="35" spans="1:8" s="142" customFormat="1" ht="18">
      <c r="A35" s="140"/>
      <c r="B35" s="869"/>
      <c r="C35" s="872"/>
      <c r="D35" s="852" t="s">
        <v>592</v>
      </c>
      <c r="E35" s="853"/>
      <c r="F35" s="592">
        <v>48030</v>
      </c>
      <c r="G35" s="593"/>
      <c r="H35" s="415"/>
    </row>
    <row r="36" spans="1:8" s="142" customFormat="1" ht="18">
      <c r="A36" s="140"/>
      <c r="B36" s="869"/>
      <c r="C36" s="872"/>
      <c r="D36" s="852" t="s">
        <v>593</v>
      </c>
      <c r="E36" s="853"/>
      <c r="F36" s="592">
        <v>152190</v>
      </c>
      <c r="G36" s="593"/>
      <c r="H36" s="415"/>
    </row>
    <row r="37" spans="1:8" s="142" customFormat="1" ht="18">
      <c r="A37" s="140"/>
      <c r="B37" s="869"/>
      <c r="C37" s="872"/>
      <c r="D37" s="852" t="s">
        <v>594</v>
      </c>
      <c r="E37" s="853"/>
      <c r="F37" s="592">
        <v>29520</v>
      </c>
      <c r="G37" s="593"/>
      <c r="H37" s="415"/>
    </row>
    <row r="38" spans="1:8" s="142" customFormat="1" ht="18">
      <c r="A38" s="140"/>
      <c r="B38" s="869"/>
      <c r="C38" s="872"/>
      <c r="D38" s="852" t="s">
        <v>595</v>
      </c>
      <c r="E38" s="853"/>
      <c r="F38" s="592">
        <v>212150</v>
      </c>
      <c r="G38" s="593"/>
      <c r="H38" s="415"/>
    </row>
    <row r="39" spans="1:8" s="142" customFormat="1" ht="18">
      <c r="A39" s="140"/>
      <c r="B39" s="869"/>
      <c r="C39" s="872"/>
      <c r="D39" s="852" t="s">
        <v>596</v>
      </c>
      <c r="E39" s="853"/>
      <c r="F39" s="592">
        <v>55350</v>
      </c>
      <c r="G39" s="593"/>
      <c r="H39" s="415"/>
    </row>
    <row r="40" spans="1:8" s="142" customFormat="1" ht="18">
      <c r="A40" s="140"/>
      <c r="B40" s="869"/>
      <c r="C40" s="872"/>
      <c r="D40" s="852" t="s">
        <v>597</v>
      </c>
      <c r="E40" s="853"/>
      <c r="F40" s="592">
        <v>166760</v>
      </c>
      <c r="G40" s="593"/>
      <c r="H40" s="415"/>
    </row>
    <row r="41" spans="1:8" s="142" customFormat="1" ht="18">
      <c r="A41" s="140"/>
      <c r="B41" s="869"/>
      <c r="C41" s="872"/>
      <c r="D41" s="852" t="s">
        <v>598</v>
      </c>
      <c r="E41" s="853"/>
      <c r="F41" s="592">
        <v>1682540</v>
      </c>
      <c r="G41" s="593"/>
      <c r="H41" s="415"/>
    </row>
    <row r="42" spans="1:8" s="142" customFormat="1" ht="18">
      <c r="A42" s="140"/>
      <c r="B42" s="869"/>
      <c r="C42" s="872"/>
      <c r="D42" s="852" t="s">
        <v>599</v>
      </c>
      <c r="E42" s="853"/>
      <c r="F42" s="592">
        <v>1800000</v>
      </c>
      <c r="G42" s="593"/>
      <c r="H42" s="415"/>
    </row>
    <row r="43" spans="1:8" s="142" customFormat="1" ht="18">
      <c r="A43" s="140"/>
      <c r="B43" s="869"/>
      <c r="C43" s="873"/>
      <c r="D43" s="852" t="s">
        <v>600</v>
      </c>
      <c r="E43" s="853"/>
      <c r="F43" s="592">
        <v>57230</v>
      </c>
      <c r="G43" s="593"/>
      <c r="H43" s="415"/>
    </row>
    <row r="44" spans="1:8" s="142" customFormat="1" ht="15" customHeight="1" thickBot="1">
      <c r="A44" s="140"/>
      <c r="B44" s="870"/>
      <c r="C44" s="874"/>
      <c r="D44" s="434" t="s">
        <v>601</v>
      </c>
      <c r="E44" s="435"/>
      <c r="F44" s="594">
        <f>SUM(F34:F43)</f>
        <v>4470610</v>
      </c>
      <c r="G44" s="594">
        <f>+F44</f>
        <v>4470610</v>
      </c>
      <c r="H44" s="419"/>
    </row>
    <row r="45" spans="1:7" s="142" customFormat="1" ht="16.5" customHeight="1" thickBot="1">
      <c r="A45" s="426"/>
      <c r="B45" s="854" t="s">
        <v>436</v>
      </c>
      <c r="C45" s="855"/>
      <c r="D45" s="856"/>
      <c r="E45" s="436"/>
      <c r="F45" s="437"/>
      <c r="G45" s="595">
        <f>+G44+G32</f>
        <v>7003210</v>
      </c>
    </row>
    <row r="46" spans="1:7" s="143" customFormat="1" ht="12.75">
      <c r="A46" s="140"/>
      <c r="B46" s="140"/>
      <c r="C46" s="140"/>
      <c r="D46" s="140"/>
      <c r="E46" s="140"/>
      <c r="F46" s="140"/>
      <c r="G46" s="140"/>
    </row>
    <row r="47" spans="1:7" s="143" customFormat="1" ht="12.75">
      <c r="A47" s="140"/>
      <c r="B47" s="140"/>
      <c r="C47" s="140"/>
      <c r="D47" s="140"/>
      <c r="E47" s="140"/>
      <c r="F47" s="140"/>
      <c r="G47" s="438"/>
    </row>
    <row r="48" spans="1:7" s="143" customFormat="1" ht="12.75">
      <c r="A48" s="140"/>
      <c r="B48" s="140"/>
      <c r="C48" s="140"/>
      <c r="D48" s="140"/>
      <c r="E48" s="140"/>
      <c r="F48" s="140"/>
      <c r="G48" s="140"/>
    </row>
    <row r="49" spans="1:7" s="143" customFormat="1" ht="27.75" customHeight="1">
      <c r="A49" s="140"/>
      <c r="B49" s="140"/>
      <c r="C49" s="140"/>
      <c r="D49" s="144" t="s">
        <v>440</v>
      </c>
      <c r="E49" s="439"/>
      <c r="F49" s="857" t="s">
        <v>441</v>
      </c>
      <c r="G49" s="858"/>
    </row>
    <row r="50" spans="1:9" s="143" customFormat="1" ht="12.75">
      <c r="A50" s="398"/>
      <c r="B50" s="137" t="s">
        <v>602</v>
      </c>
      <c r="C50" s="138"/>
      <c r="D50" s="138"/>
      <c r="E50" s="138"/>
      <c r="F50" s="137"/>
      <c r="G50" s="140"/>
      <c r="H50" s="137"/>
      <c r="I50" s="137"/>
    </row>
    <row r="51" spans="1:9" s="143" customFormat="1" ht="12.75">
      <c r="A51" s="440"/>
      <c r="B51" s="139" t="s">
        <v>442</v>
      </c>
      <c r="C51" s="140"/>
      <c r="D51" s="140"/>
      <c r="E51" s="441"/>
      <c r="G51" s="139"/>
      <c r="H51" s="140"/>
      <c r="I51" s="140"/>
    </row>
    <row r="52" spans="1:7" s="143" customFormat="1" ht="12.75">
      <c r="A52" s="398"/>
      <c r="B52" s="137"/>
      <c r="C52" s="138"/>
      <c r="D52" s="138"/>
      <c r="E52" s="138"/>
      <c r="F52" s="137"/>
      <c r="G52" s="140"/>
    </row>
    <row r="55" spans="1:7" s="142" customFormat="1" ht="21.75" customHeight="1">
      <c r="A55" s="140"/>
      <c r="B55" s="141"/>
      <c r="C55" s="141"/>
      <c r="D55" s="397"/>
      <c r="E55" s="141"/>
      <c r="F55" s="141"/>
      <c r="G55" s="141"/>
    </row>
    <row r="56" spans="1:7" s="113" customFormat="1" ht="20.25" customHeight="1">
      <c r="A56" s="443"/>
      <c r="B56" s="464" t="s">
        <v>424</v>
      </c>
      <c r="C56" s="465"/>
      <c r="D56" s="465"/>
      <c r="E56" s="465"/>
      <c r="F56" s="465"/>
      <c r="G56" s="465"/>
    </row>
    <row r="57" spans="1:7" s="113" customFormat="1" ht="20.25" customHeight="1">
      <c r="A57" s="443"/>
      <c r="B57" s="466" t="s">
        <v>575</v>
      </c>
      <c r="C57" s="467"/>
      <c r="D57" s="467"/>
      <c r="E57" s="467"/>
      <c r="F57" s="467"/>
      <c r="G57" s="467"/>
    </row>
    <row r="58" spans="1:7" s="142" customFormat="1" ht="18.75" customHeight="1">
      <c r="A58" s="140"/>
      <c r="B58" s="859" t="s">
        <v>576</v>
      </c>
      <c r="C58" s="860"/>
      <c r="D58" s="860"/>
      <c r="E58" s="860"/>
      <c r="F58" s="860"/>
      <c r="G58" s="860"/>
    </row>
    <row r="59" spans="1:7" s="142" customFormat="1" ht="9.75" customHeight="1">
      <c r="A59" s="398"/>
      <c r="B59" s="861"/>
      <c r="C59" s="861"/>
      <c r="D59" s="861"/>
      <c r="E59" s="861"/>
      <c r="F59" s="861"/>
      <c r="G59" s="861"/>
    </row>
    <row r="60" spans="1:8" s="113" customFormat="1" ht="15.75" customHeight="1">
      <c r="A60" s="444"/>
      <c r="B60" s="824" t="s">
        <v>425</v>
      </c>
      <c r="C60" s="825"/>
      <c r="D60" s="828" t="s">
        <v>443</v>
      </c>
      <c r="E60" s="402" t="s">
        <v>427</v>
      </c>
      <c r="F60" s="403" t="s">
        <v>428</v>
      </c>
      <c r="G60" s="403" t="s">
        <v>638</v>
      </c>
      <c r="H60" s="142"/>
    </row>
    <row r="61" spans="1:9" s="113" customFormat="1" ht="13.5" thickBot="1">
      <c r="A61" s="135"/>
      <c r="B61" s="826"/>
      <c r="C61" s="827"/>
      <c r="D61" s="829"/>
      <c r="E61" s="402" t="s">
        <v>430</v>
      </c>
      <c r="F61" s="403" t="s">
        <v>431</v>
      </c>
      <c r="G61" s="403" t="s">
        <v>432</v>
      </c>
      <c r="H61" s="142"/>
      <c r="I61" s="566"/>
    </row>
    <row r="62" spans="1:8" s="113" customFormat="1" ht="19.5" customHeight="1">
      <c r="A62" s="446"/>
      <c r="B62" s="838">
        <v>423</v>
      </c>
      <c r="C62" s="843" t="s">
        <v>434</v>
      </c>
      <c r="D62" s="447" t="s">
        <v>444</v>
      </c>
      <c r="E62" s="448"/>
      <c r="F62" s="448"/>
      <c r="G62" s="442"/>
      <c r="H62" s="142"/>
    </row>
    <row r="63" spans="1:9" s="113" customFormat="1" ht="19.5" customHeight="1">
      <c r="A63" s="135"/>
      <c r="B63" s="839"/>
      <c r="C63" s="844"/>
      <c r="D63" s="449" t="s">
        <v>445</v>
      </c>
      <c r="E63" s="585">
        <v>19640</v>
      </c>
      <c r="F63" s="585"/>
      <c r="G63" s="576">
        <f aca="true" t="shared" si="2" ref="G63:G69">+E63+F63</f>
        <v>19640</v>
      </c>
      <c r="I63" s="567"/>
    </row>
    <row r="64" spans="1:9" s="113" customFormat="1" ht="19.5" customHeight="1">
      <c r="A64" s="135"/>
      <c r="B64" s="839"/>
      <c r="C64" s="844"/>
      <c r="D64" s="450" t="s">
        <v>446</v>
      </c>
      <c r="E64" s="585">
        <v>144650</v>
      </c>
      <c r="F64" s="585"/>
      <c r="G64" s="576">
        <f t="shared" si="2"/>
        <v>144650</v>
      </c>
      <c r="I64" s="567"/>
    </row>
    <row r="65" spans="1:9" s="113" customFormat="1" ht="19.5" customHeight="1">
      <c r="A65" s="135"/>
      <c r="B65" s="840"/>
      <c r="C65" s="845"/>
      <c r="D65" s="449" t="s">
        <v>447</v>
      </c>
      <c r="E65" s="585">
        <v>7210</v>
      </c>
      <c r="F65" s="585"/>
      <c r="G65" s="576">
        <f t="shared" si="2"/>
        <v>7210</v>
      </c>
      <c r="I65" s="567"/>
    </row>
    <row r="66" spans="1:9" s="113" customFormat="1" ht="19.5" customHeight="1">
      <c r="A66" s="135"/>
      <c r="B66" s="840"/>
      <c r="C66" s="845"/>
      <c r="D66" s="450" t="s">
        <v>603</v>
      </c>
      <c r="E66" s="585">
        <v>27820</v>
      </c>
      <c r="F66" s="585"/>
      <c r="G66" s="576">
        <f t="shared" si="2"/>
        <v>27820</v>
      </c>
      <c r="I66" s="567"/>
    </row>
    <row r="67" spans="1:9" s="113" customFormat="1" ht="19.5" customHeight="1">
      <c r="A67" s="135"/>
      <c r="B67" s="840"/>
      <c r="C67" s="845"/>
      <c r="D67" s="449" t="s">
        <v>604</v>
      </c>
      <c r="E67" s="585">
        <v>35890</v>
      </c>
      <c r="F67" s="585"/>
      <c r="G67" s="576">
        <f t="shared" si="2"/>
        <v>35890</v>
      </c>
      <c r="I67" s="567"/>
    </row>
    <row r="68" spans="1:9" s="113" customFormat="1" ht="19.5" customHeight="1">
      <c r="A68" s="135"/>
      <c r="B68" s="840"/>
      <c r="C68" s="845"/>
      <c r="D68" s="450" t="s">
        <v>605</v>
      </c>
      <c r="E68" s="585">
        <v>66470</v>
      </c>
      <c r="F68" s="585"/>
      <c r="G68" s="576">
        <f t="shared" si="2"/>
        <v>66470</v>
      </c>
      <c r="I68" s="567"/>
    </row>
    <row r="69" spans="1:9" s="113" customFormat="1" ht="19.5" customHeight="1" thickBot="1">
      <c r="A69" s="135"/>
      <c r="B69" s="840"/>
      <c r="C69" s="845"/>
      <c r="D69" s="451" t="s">
        <v>606</v>
      </c>
      <c r="E69" s="586">
        <v>109600</v>
      </c>
      <c r="F69" s="586"/>
      <c r="G69" s="574">
        <f t="shared" si="2"/>
        <v>109600</v>
      </c>
      <c r="I69" s="567"/>
    </row>
    <row r="70" spans="1:9" s="113" customFormat="1" ht="19.5" customHeight="1">
      <c r="A70" s="135"/>
      <c r="B70" s="840"/>
      <c r="C70" s="845"/>
      <c r="D70" s="447" t="s">
        <v>448</v>
      </c>
      <c r="E70" s="461"/>
      <c r="F70" s="461"/>
      <c r="G70" s="442"/>
      <c r="I70" s="567"/>
    </row>
    <row r="71" spans="1:9" s="113" customFormat="1" ht="19.5" customHeight="1">
      <c r="A71" s="135"/>
      <c r="B71" s="840"/>
      <c r="C71" s="845"/>
      <c r="D71" s="449" t="s">
        <v>607</v>
      </c>
      <c r="E71" s="585">
        <v>173580</v>
      </c>
      <c r="F71" s="585"/>
      <c r="G71" s="576">
        <f>+E71+F71</f>
        <v>173580</v>
      </c>
      <c r="I71" s="567"/>
    </row>
    <row r="72" spans="1:9" s="113" customFormat="1" ht="19.5" customHeight="1" thickBot="1">
      <c r="A72" s="135"/>
      <c r="B72" s="840"/>
      <c r="C72" s="845"/>
      <c r="D72" s="451" t="s">
        <v>608</v>
      </c>
      <c r="E72" s="586">
        <v>236730</v>
      </c>
      <c r="F72" s="586"/>
      <c r="G72" s="574">
        <f>+E72+F72</f>
        <v>236730</v>
      </c>
      <c r="I72" s="567"/>
    </row>
    <row r="73" spans="1:9" s="113" customFormat="1" ht="19.5" customHeight="1">
      <c r="A73" s="135"/>
      <c r="B73" s="840"/>
      <c r="C73" s="845"/>
      <c r="D73" s="447" t="s">
        <v>449</v>
      </c>
      <c r="E73" s="461"/>
      <c r="F73" s="461"/>
      <c r="G73" s="442"/>
      <c r="I73" s="567"/>
    </row>
    <row r="74" spans="1:11" s="113" customFormat="1" ht="19.5" customHeight="1">
      <c r="A74" s="135"/>
      <c r="B74" s="840"/>
      <c r="C74" s="845"/>
      <c r="D74" s="449" t="s">
        <v>609</v>
      </c>
      <c r="E74" s="585"/>
      <c r="F74" s="585">
        <v>105370</v>
      </c>
      <c r="G74" s="576">
        <f aca="true" t="shared" si="3" ref="G74:G79">+E74+F74</f>
        <v>105370</v>
      </c>
      <c r="I74" s="567"/>
      <c r="K74" s="567"/>
    </row>
    <row r="75" spans="1:11" s="113" customFormat="1" ht="19.5" customHeight="1">
      <c r="A75" s="135"/>
      <c r="B75" s="840"/>
      <c r="C75" s="845"/>
      <c r="D75" s="449" t="s">
        <v>349</v>
      </c>
      <c r="E75" s="585">
        <v>218440</v>
      </c>
      <c r="F75" s="585">
        <v>1711300</v>
      </c>
      <c r="G75" s="576">
        <f t="shared" si="3"/>
        <v>1929740</v>
      </c>
      <c r="I75" s="567"/>
      <c r="K75" s="567"/>
    </row>
    <row r="76" spans="1:11" s="113" customFormat="1" ht="19.5" customHeight="1">
      <c r="A76" s="135"/>
      <c r="B76" s="840"/>
      <c r="C76" s="845"/>
      <c r="D76" s="449" t="s">
        <v>610</v>
      </c>
      <c r="E76" s="585"/>
      <c r="F76" s="585">
        <v>137390</v>
      </c>
      <c r="G76" s="576">
        <f t="shared" si="3"/>
        <v>137390</v>
      </c>
      <c r="I76" s="567"/>
      <c r="K76" s="567"/>
    </row>
    <row r="77" spans="1:11" s="113" customFormat="1" ht="19.5" customHeight="1">
      <c r="A77" s="135"/>
      <c r="B77" s="840"/>
      <c r="C77" s="845"/>
      <c r="D77" s="449" t="s">
        <v>611</v>
      </c>
      <c r="E77" s="585"/>
      <c r="F77" s="585">
        <v>28070</v>
      </c>
      <c r="G77" s="576">
        <f t="shared" si="3"/>
        <v>28070</v>
      </c>
      <c r="I77" s="567"/>
      <c r="K77" s="567"/>
    </row>
    <row r="78" spans="1:11" s="113" customFormat="1" ht="19.5" customHeight="1">
      <c r="A78" s="135"/>
      <c r="B78" s="840"/>
      <c r="C78" s="845"/>
      <c r="D78" s="449" t="s">
        <v>450</v>
      </c>
      <c r="E78" s="585"/>
      <c r="F78" s="585">
        <v>793930</v>
      </c>
      <c r="G78" s="576">
        <f t="shared" si="3"/>
        <v>793930</v>
      </c>
      <c r="I78" s="567"/>
      <c r="K78" s="567"/>
    </row>
    <row r="79" spans="1:11" s="113" customFormat="1" ht="19.5" customHeight="1" thickBot="1">
      <c r="A79" s="135"/>
      <c r="B79" s="840"/>
      <c r="C79" s="845"/>
      <c r="D79" s="450" t="s">
        <v>612</v>
      </c>
      <c r="E79" s="585">
        <v>51400</v>
      </c>
      <c r="F79" s="585"/>
      <c r="G79" s="574">
        <f t="shared" si="3"/>
        <v>51400</v>
      </c>
      <c r="I79" s="567"/>
      <c r="K79" s="567"/>
    </row>
    <row r="80" spans="1:9" s="142" customFormat="1" ht="16.5" customHeight="1" thickBot="1">
      <c r="A80" s="426"/>
      <c r="B80" s="840"/>
      <c r="C80" s="845"/>
      <c r="D80" s="453" t="s">
        <v>589</v>
      </c>
      <c r="E80" s="578">
        <f>SUM(E63:E79)</f>
        <v>1091430</v>
      </c>
      <c r="F80" s="578">
        <f>SUM(F63:F79)</f>
        <v>2776060</v>
      </c>
      <c r="G80" s="578">
        <f>SUM(G63:G79)</f>
        <v>3867490</v>
      </c>
      <c r="H80" s="454"/>
      <c r="I80" s="143"/>
    </row>
    <row r="81" spans="1:7" s="113" customFormat="1" ht="19.5" customHeight="1" thickBot="1">
      <c r="A81" s="135"/>
      <c r="B81" s="840"/>
      <c r="C81" s="846"/>
      <c r="D81" s="455" t="s">
        <v>613</v>
      </c>
      <c r="E81" s="456"/>
      <c r="F81" s="456"/>
      <c r="G81" s="457">
        <v>0</v>
      </c>
    </row>
    <row r="82" spans="1:7" s="113" customFormat="1" ht="33" customHeight="1" thickBot="1">
      <c r="A82" s="135"/>
      <c r="B82" s="840"/>
      <c r="C82" s="846"/>
      <c r="D82" s="847" t="s">
        <v>614</v>
      </c>
      <c r="E82" s="848"/>
      <c r="F82" s="587">
        <v>378030</v>
      </c>
      <c r="G82" s="588">
        <f>+F82</f>
        <v>378030</v>
      </c>
    </row>
    <row r="83" spans="1:7" s="113" customFormat="1" ht="23.25" customHeight="1" thickBot="1">
      <c r="A83" s="458"/>
      <c r="B83" s="849" t="s">
        <v>436</v>
      </c>
      <c r="C83" s="850"/>
      <c r="D83" s="851"/>
      <c r="E83" s="589">
        <f>+E80</f>
        <v>1091430</v>
      </c>
      <c r="F83" s="589">
        <f>+F82+F80</f>
        <v>3154090</v>
      </c>
      <c r="G83" s="589">
        <f>+G82+G80</f>
        <v>4245520</v>
      </c>
    </row>
    <row r="84" spans="1:7" s="113" customFormat="1" ht="12.75">
      <c r="A84" s="135"/>
      <c r="B84" s="111"/>
      <c r="C84" s="111"/>
      <c r="D84" s="111"/>
      <c r="E84" s="111"/>
      <c r="F84" s="111"/>
      <c r="G84" s="111"/>
    </row>
    <row r="85" spans="1:7" s="113" customFormat="1" ht="12.75">
      <c r="A85" s="135"/>
      <c r="B85" s="111"/>
      <c r="C85" s="111"/>
      <c r="D85" s="111"/>
      <c r="E85" s="111"/>
      <c r="F85" s="111"/>
      <c r="G85" s="111"/>
    </row>
    <row r="86" spans="1:7" s="113" customFormat="1" ht="12.75">
      <c r="A86" s="135"/>
      <c r="B86" s="111"/>
      <c r="C86" s="111"/>
      <c r="D86" s="111"/>
      <c r="E86" s="111"/>
      <c r="F86" s="111"/>
      <c r="G86" s="111"/>
    </row>
    <row r="87" spans="1:7" s="113" customFormat="1" ht="12.75">
      <c r="A87" s="135"/>
      <c r="B87" s="111"/>
      <c r="C87" s="111"/>
      <c r="D87" s="111"/>
      <c r="E87" s="111"/>
      <c r="F87" s="111"/>
      <c r="G87" s="459"/>
    </row>
    <row r="88" spans="1:7" s="452" customFormat="1" ht="12.75">
      <c r="A88" s="135"/>
      <c r="B88" s="135"/>
      <c r="C88" s="135"/>
      <c r="D88" s="135"/>
      <c r="E88" s="135"/>
      <c r="F88" s="135"/>
      <c r="G88" s="135"/>
    </row>
    <row r="89" spans="1:7" s="452" customFormat="1" ht="12.75">
      <c r="A89" s="135"/>
      <c r="B89" s="135"/>
      <c r="C89" s="135"/>
      <c r="D89" s="135"/>
      <c r="E89" s="135"/>
      <c r="F89" s="135"/>
      <c r="G89" s="135"/>
    </row>
    <row r="90" spans="1:7" s="452" customFormat="1" ht="12.75">
      <c r="A90" s="135"/>
      <c r="B90" s="135"/>
      <c r="C90" s="135"/>
      <c r="D90" s="135"/>
      <c r="E90" s="135"/>
      <c r="G90" s="135"/>
    </row>
    <row r="91" spans="1:7" s="452" customFormat="1" ht="12.75">
      <c r="A91" s="135"/>
      <c r="B91" s="135"/>
      <c r="C91" s="135"/>
      <c r="D91" s="135"/>
      <c r="E91" s="135"/>
      <c r="F91" s="135"/>
      <c r="G91" s="135"/>
    </row>
    <row r="92" spans="1:7" s="452" customFormat="1" ht="12.75" customHeight="1">
      <c r="A92" s="135"/>
      <c r="B92" s="135"/>
      <c r="C92" s="135"/>
      <c r="D92" s="136" t="s">
        <v>440</v>
      </c>
      <c r="E92" s="460"/>
      <c r="F92" s="822" t="s">
        <v>441</v>
      </c>
      <c r="G92" s="823"/>
    </row>
    <row r="93" spans="1:8" s="143" customFormat="1" ht="12.75">
      <c r="A93" s="398"/>
      <c r="B93" s="137" t="s">
        <v>602</v>
      </c>
      <c r="C93" s="138"/>
      <c r="D93" s="138"/>
      <c r="E93" s="138"/>
      <c r="F93" s="137"/>
      <c r="G93" s="140"/>
      <c r="H93" s="137"/>
    </row>
    <row r="94" spans="1:8" s="143" customFormat="1" ht="12.75">
      <c r="A94" s="440"/>
      <c r="B94" s="139" t="s">
        <v>442</v>
      </c>
      <c r="C94" s="140"/>
      <c r="D94" s="140"/>
      <c r="E94" s="441"/>
      <c r="G94" s="139"/>
      <c r="H94" s="140"/>
    </row>
    <row r="95" spans="1:7" s="113" customFormat="1" ht="12.75">
      <c r="A95" s="111"/>
      <c r="B95" s="111"/>
      <c r="D95" s="111"/>
      <c r="E95" s="111"/>
      <c r="F95" s="111"/>
      <c r="G95" s="111"/>
    </row>
    <row r="96" spans="1:7" s="113" customFormat="1" ht="12.75">
      <c r="A96" s="111"/>
      <c r="B96" s="111"/>
      <c r="D96" s="111"/>
      <c r="E96" s="111"/>
      <c r="F96" s="111"/>
      <c r="G96" s="111"/>
    </row>
    <row r="99" s="113" customFormat="1" ht="12.75">
      <c r="A99" s="452"/>
    </row>
    <row r="100" spans="1:7" s="113" customFormat="1" ht="20.25" customHeight="1">
      <c r="A100" s="443"/>
      <c r="B100" s="464" t="s">
        <v>424</v>
      </c>
      <c r="C100" s="465"/>
      <c r="D100" s="465"/>
      <c r="E100" s="465"/>
      <c r="F100" s="465"/>
      <c r="G100" s="465"/>
    </row>
    <row r="101" spans="1:7" s="113" customFormat="1" ht="20.25" customHeight="1">
      <c r="A101" s="443"/>
      <c r="B101" s="466" t="s">
        <v>575</v>
      </c>
      <c r="C101" s="467"/>
      <c r="D101" s="467"/>
      <c r="E101" s="467"/>
      <c r="F101" s="467"/>
      <c r="G101" s="467"/>
    </row>
    <row r="102" spans="1:7" s="113" customFormat="1" ht="12.75">
      <c r="A102" s="135"/>
      <c r="B102" s="465"/>
      <c r="C102" s="468"/>
      <c r="D102" s="465"/>
      <c r="E102" s="465"/>
      <c r="F102" s="465"/>
      <c r="G102" s="465"/>
    </row>
    <row r="103" spans="1:7" s="113" customFormat="1" ht="23.25">
      <c r="A103" s="443"/>
      <c r="B103" s="469" t="s">
        <v>576</v>
      </c>
      <c r="C103" s="452"/>
      <c r="D103" s="135"/>
      <c r="E103" s="135"/>
      <c r="F103" s="135"/>
      <c r="G103" s="135"/>
    </row>
    <row r="104" spans="1:7" s="113" customFormat="1" ht="12.75">
      <c r="A104" s="135"/>
      <c r="B104" s="467"/>
      <c r="C104" s="470"/>
      <c r="D104" s="467"/>
      <c r="E104" s="467"/>
      <c r="F104" s="467"/>
      <c r="G104" s="467"/>
    </row>
    <row r="105" spans="1:7" s="113" customFormat="1" ht="15.75" customHeight="1">
      <c r="A105" s="444"/>
      <c r="B105" s="835" t="s">
        <v>425</v>
      </c>
      <c r="C105" s="836"/>
      <c r="D105" s="828" t="s">
        <v>443</v>
      </c>
      <c r="E105" s="402" t="s">
        <v>427</v>
      </c>
      <c r="F105" s="403" t="s">
        <v>428</v>
      </c>
      <c r="G105" s="403" t="s">
        <v>638</v>
      </c>
    </row>
    <row r="106" spans="1:7" s="113" customFormat="1" ht="12.75">
      <c r="A106" s="135"/>
      <c r="B106" s="837"/>
      <c r="C106" s="837"/>
      <c r="D106" s="829"/>
      <c r="E106" s="402" t="s">
        <v>430</v>
      </c>
      <c r="F106" s="403" t="s">
        <v>431</v>
      </c>
      <c r="G106" s="403" t="s">
        <v>432</v>
      </c>
    </row>
    <row r="107" spans="1:9" s="113" customFormat="1" ht="51" customHeight="1">
      <c r="A107" s="446"/>
      <c r="B107" s="830">
        <v>424</v>
      </c>
      <c r="C107" s="833" t="s">
        <v>435</v>
      </c>
      <c r="D107" s="477" t="s">
        <v>615</v>
      </c>
      <c r="E107" s="579">
        <f>500000-80000</f>
        <v>420000</v>
      </c>
      <c r="F107" s="580"/>
      <c r="G107" s="581">
        <f>SUM(E107:F107)</f>
        <v>420000</v>
      </c>
      <c r="I107" s="567"/>
    </row>
    <row r="108" spans="1:7" s="113" customFormat="1" ht="51" customHeight="1">
      <c r="A108" s="135"/>
      <c r="B108" s="831"/>
      <c r="C108" s="834"/>
      <c r="D108" s="477" t="s">
        <v>616</v>
      </c>
      <c r="E108" s="579"/>
      <c r="F108" s="580">
        <v>330550</v>
      </c>
      <c r="G108" s="581">
        <f>SUM(E108:F108)</f>
        <v>330550</v>
      </c>
    </row>
    <row r="109" spans="1:7" s="113" customFormat="1" ht="51" customHeight="1">
      <c r="A109" s="135"/>
      <c r="B109" s="831"/>
      <c r="C109" s="834"/>
      <c r="D109" s="477" t="s">
        <v>527</v>
      </c>
      <c r="E109" s="582"/>
      <c r="F109" s="582">
        <v>-330550</v>
      </c>
      <c r="G109" s="581">
        <f>SUM(E109:F109)</f>
        <v>-330550</v>
      </c>
    </row>
    <row r="110" spans="1:7" s="113" customFormat="1" ht="71.25" customHeight="1" thickBot="1">
      <c r="A110" s="135"/>
      <c r="B110" s="832"/>
      <c r="C110" s="834"/>
      <c r="D110" s="445"/>
      <c r="E110" s="583"/>
      <c r="F110" s="582"/>
      <c r="G110" s="582"/>
    </row>
    <row r="111" spans="1:7" s="113" customFormat="1" ht="23.25" customHeight="1" thickBot="1">
      <c r="A111" s="462"/>
      <c r="B111" s="841" t="s">
        <v>436</v>
      </c>
      <c r="C111" s="842"/>
      <c r="D111" s="842"/>
      <c r="E111" s="584">
        <f>SUM(E107:E110)</f>
        <v>420000</v>
      </c>
      <c r="F111" s="584">
        <f>SUM(F107:F110)</f>
        <v>0</v>
      </c>
      <c r="G111" s="584">
        <f>SUM(G107:G110)</f>
        <v>420000</v>
      </c>
    </row>
    <row r="112" spans="1:7" s="113" customFormat="1" ht="12.75">
      <c r="A112" s="135"/>
      <c r="B112" s="111"/>
      <c r="D112" s="111"/>
      <c r="E112" s="111"/>
      <c r="F112" s="111"/>
      <c r="G112" s="111"/>
    </row>
    <row r="113" spans="1:7" s="113" customFormat="1" ht="12.75">
      <c r="A113" s="135"/>
      <c r="B113" s="111"/>
      <c r="D113" s="111"/>
      <c r="E113" s="111"/>
      <c r="F113" s="111"/>
      <c r="G113" s="111"/>
    </row>
    <row r="114" spans="1:7" s="113" customFormat="1" ht="12.75">
      <c r="A114" s="135"/>
      <c r="B114" s="111"/>
      <c r="D114" s="111"/>
      <c r="E114" s="111"/>
      <c r="F114" s="111"/>
      <c r="G114" s="111"/>
    </row>
    <row r="115" spans="1:7" s="113" customFormat="1" ht="12.75">
      <c r="A115" s="135"/>
      <c r="B115" s="111"/>
      <c r="D115" s="111"/>
      <c r="E115" s="111"/>
      <c r="F115" s="111"/>
      <c r="G115" s="111"/>
    </row>
    <row r="116" spans="1:7" s="113" customFormat="1" ht="12.75">
      <c r="A116" s="135"/>
      <c r="B116" s="111"/>
      <c r="D116" s="111"/>
      <c r="E116" s="111"/>
      <c r="F116" s="111"/>
      <c r="G116" s="111"/>
    </row>
    <row r="117" spans="1:7" s="452" customFormat="1" ht="12.75">
      <c r="A117" s="135"/>
      <c r="B117" s="135"/>
      <c r="C117" s="135"/>
      <c r="D117" s="135"/>
      <c r="E117" s="135"/>
      <c r="F117" s="135"/>
      <c r="G117" s="135"/>
    </row>
    <row r="118" spans="1:7" s="452" customFormat="1" ht="12.75">
      <c r="A118" s="135"/>
      <c r="B118" s="135"/>
      <c r="C118" s="135"/>
      <c r="D118" s="135"/>
      <c r="E118" s="135"/>
      <c r="G118" s="135"/>
    </row>
    <row r="119" spans="1:7" s="452" customFormat="1" ht="12.75">
      <c r="A119" s="135"/>
      <c r="B119" s="135"/>
      <c r="C119" s="135"/>
      <c r="D119" s="135"/>
      <c r="E119" s="135"/>
      <c r="F119" s="135"/>
      <c r="G119" s="135"/>
    </row>
    <row r="120" spans="1:7" s="452" customFormat="1" ht="43.5" customHeight="1">
      <c r="A120" s="135"/>
      <c r="B120" s="135"/>
      <c r="C120" s="135"/>
      <c r="D120" s="136" t="s">
        <v>440</v>
      </c>
      <c r="E120" s="460"/>
      <c r="F120" s="822" t="s">
        <v>441</v>
      </c>
      <c r="G120" s="823"/>
    </row>
    <row r="121" s="113" customFormat="1" ht="12.75">
      <c r="B121" s="113" t="s">
        <v>602</v>
      </c>
    </row>
    <row r="122" spans="2:5" s="113" customFormat="1" ht="12.75">
      <c r="B122" s="113" t="s">
        <v>442</v>
      </c>
      <c r="E122" s="463">
        <v>0</v>
      </c>
    </row>
  </sheetData>
  <sheetProtection/>
  <mergeCells count="31">
    <mergeCell ref="D35:E35"/>
    <mergeCell ref="D36:E36"/>
    <mergeCell ref="D37:E37"/>
    <mergeCell ref="D38:E38"/>
    <mergeCell ref="D39:E39"/>
    <mergeCell ref="D40:E40"/>
    <mergeCell ref="D41:E41"/>
    <mergeCell ref="D42:E42"/>
    <mergeCell ref="B4:G5"/>
    <mergeCell ref="B6:C7"/>
    <mergeCell ref="D6:D7"/>
    <mergeCell ref="B8:B44"/>
    <mergeCell ref="C8:C44"/>
    <mergeCell ref="D34:E34"/>
    <mergeCell ref="C62:C82"/>
    <mergeCell ref="D82:E82"/>
    <mergeCell ref="B83:D83"/>
    <mergeCell ref="D43:E43"/>
    <mergeCell ref="B45:D45"/>
    <mergeCell ref="F49:G49"/>
    <mergeCell ref="B58:G59"/>
    <mergeCell ref="F120:G120"/>
    <mergeCell ref="B60:C61"/>
    <mergeCell ref="D60:D61"/>
    <mergeCell ref="B107:B110"/>
    <mergeCell ref="C107:C110"/>
    <mergeCell ref="F92:G92"/>
    <mergeCell ref="B105:C106"/>
    <mergeCell ref="D105:D106"/>
    <mergeCell ref="B62:B82"/>
    <mergeCell ref="B111:D111"/>
  </mergeCells>
  <printOptions horizontalCentered="1"/>
  <pageMargins left="0.75" right="0.75" top="0.4724409448818898" bottom="1" header="0" footer="0"/>
  <pageSetup horizontalDpi="600" verticalDpi="600" orientation="landscape" paperSize="9" scale="61" r:id="rId1"/>
  <rowBreaks count="2" manualBreakCount="2">
    <brk id="53" max="255" man="1"/>
    <brk id="97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F66"/>
  <sheetViews>
    <sheetView zoomScaleSheetLayoutView="75" zoomScalePageLayoutView="0" workbookViewId="0" topLeftCell="A1">
      <selection activeCell="C1" sqref="C1"/>
    </sheetView>
  </sheetViews>
  <sheetFormatPr defaultColWidth="11.421875" defaultRowHeight="12.75"/>
  <cols>
    <col min="1" max="1" width="50.57421875" style="15" bestFit="1" customWidth="1"/>
    <col min="2" max="2" width="16.8515625" style="15" customWidth="1"/>
    <col min="3" max="3" width="20.8515625" style="15" customWidth="1"/>
    <col min="4" max="4" width="19.8515625" style="15" customWidth="1"/>
    <col min="5" max="5" width="2.28125" style="15" customWidth="1"/>
    <col min="6" max="6" width="15.8515625" style="15" bestFit="1" customWidth="1"/>
    <col min="7" max="7" width="3.57421875" style="0" customWidth="1"/>
  </cols>
  <sheetData>
    <row r="1" spans="1:6" ht="12.75">
      <c r="A1" s="147" t="str">
        <f>+indicadores!A1</f>
        <v>0RDENANZA N° </v>
      </c>
      <c r="B1" s="48"/>
      <c r="C1" s="48"/>
      <c r="D1" s="778"/>
      <c r="E1" s="778"/>
      <c r="F1" s="778"/>
    </row>
    <row r="2" spans="1:6" ht="15">
      <c r="A2" s="761" t="s">
        <v>382</v>
      </c>
      <c r="B2" s="761"/>
      <c r="C2" s="761"/>
      <c r="D2"/>
      <c r="E2"/>
      <c r="F2"/>
    </row>
    <row r="3" spans="1:6" ht="12.75">
      <c r="A3" s="145" t="s">
        <v>891</v>
      </c>
      <c r="B3" s="145"/>
      <c r="C3" s="145"/>
      <c r="D3"/>
      <c r="E3"/>
      <c r="F3"/>
    </row>
    <row r="4" spans="1:6" ht="12.75">
      <c r="A4" s="146" t="s">
        <v>462</v>
      </c>
      <c r="B4" s="146"/>
      <c r="C4" s="146"/>
      <c r="D4"/>
      <c r="E4"/>
      <c r="F4"/>
    </row>
    <row r="5" spans="1:6" ht="13.5" thickBot="1">
      <c r="A5" s="48"/>
      <c r="B5" s="48"/>
      <c r="C5" s="48"/>
      <c r="D5" s="48"/>
      <c r="E5"/>
      <c r="F5"/>
    </row>
    <row r="6" spans="1:6" ht="13.5" thickBot="1">
      <c r="A6" s="639" t="s">
        <v>536</v>
      </c>
      <c r="B6" s="639" t="s">
        <v>131</v>
      </c>
      <c r="C6" s="639" t="s">
        <v>464</v>
      </c>
      <c r="D6" s="639" t="s">
        <v>892</v>
      </c>
      <c r="E6"/>
      <c r="F6"/>
    </row>
    <row r="7" spans="1:6" ht="12.75">
      <c r="A7" s="254"/>
      <c r="B7" s="254"/>
      <c r="C7" s="254"/>
      <c r="D7" s="254"/>
      <c r="E7"/>
      <c r="F7"/>
    </row>
    <row r="8" spans="1:6" ht="12.75">
      <c r="A8" s="648" t="s">
        <v>763</v>
      </c>
      <c r="B8" s="641">
        <f>+B9+B12+B16</f>
        <v>90750770</v>
      </c>
      <c r="C8" s="641">
        <f>+C9+C12+C16</f>
        <v>105353297.94</v>
      </c>
      <c r="D8" s="641">
        <f>+D9+D12+D16</f>
        <v>119535452.40033603</v>
      </c>
      <c r="E8"/>
      <c r="F8"/>
    </row>
    <row r="9" spans="1:6" ht="12.75">
      <c r="A9" s="649" t="s">
        <v>825</v>
      </c>
      <c r="B9" s="641">
        <f>+B10+B11</f>
        <v>31604120</v>
      </c>
      <c r="C9" s="641">
        <f>+C10+C11</f>
        <v>37416117.668</v>
      </c>
      <c r="D9" s="641">
        <f>+D10+D11</f>
        <v>43672092.5420896</v>
      </c>
      <c r="E9"/>
      <c r="F9"/>
    </row>
    <row r="10" spans="1:6" ht="12.75">
      <c r="A10" s="255" t="s">
        <v>31</v>
      </c>
      <c r="B10" s="171">
        <v>31604120</v>
      </c>
      <c r="C10" s="171">
        <f>+B10*supuestos!$D$9*(1+supuestos!$D$6)+proyec!B10*(1-supuestos!$D$9)*(1+supuestos!$D$8+supuestos!$D$7+supuestos!$D$6)</f>
        <v>37416117.668</v>
      </c>
      <c r="D10" s="171">
        <f>+C10*supuestos!$E$9*(1+supuestos!$E$6)+C10*(1-supuestos!$E$9)*(1+supuestos!$E$8+supuestos!$E$7+supuestos!$E$6)</f>
        <v>43672092.5420896</v>
      </c>
      <c r="E10"/>
      <c r="F10"/>
    </row>
    <row r="11" spans="1:6" ht="12.75">
      <c r="A11" s="255" t="s">
        <v>24</v>
      </c>
      <c r="B11" s="171">
        <v>0</v>
      </c>
      <c r="C11" s="171">
        <f>+B11*(1+'[1]SUPUESTOS'!D15)</f>
        <v>0</v>
      </c>
      <c r="D11" s="171">
        <f>+C11*(1+'[1]SUPUESTOS'!E15)</f>
        <v>0</v>
      </c>
      <c r="E11"/>
      <c r="F11"/>
    </row>
    <row r="12" spans="1:6" ht="12.75">
      <c r="A12" s="649" t="s">
        <v>824</v>
      </c>
      <c r="B12" s="641">
        <f>+B13+B14+B15</f>
        <v>31713160</v>
      </c>
      <c r="C12" s="641">
        <f>+C13</f>
        <v>35913701.212000005</v>
      </c>
      <c r="D12" s="641">
        <f>+D13</f>
        <v>41918472.05464641</v>
      </c>
      <c r="E12"/>
      <c r="F12"/>
    </row>
    <row r="13" spans="1:6" ht="12.75">
      <c r="A13" s="255" t="s">
        <v>32</v>
      </c>
      <c r="B13" s="171">
        <v>30335080</v>
      </c>
      <c r="C13" s="171">
        <f>+B13*supuestos!$D$9*(1+supuestos!$D$6)+proyec!B13*(1-supuestos!$D$9)*(1+supuestos!$D$8+supuestos!$D$7+supuestos!$D$6)</f>
        <v>35913701.212000005</v>
      </c>
      <c r="D13" s="171">
        <f>+C13*supuestos!$E$9*(1+supuestos!$E$6)+C13*(1-supuestos!$E$9)*(1+supuestos!$E$8+supuestos!$E$7+supuestos!$E$6)</f>
        <v>41918472.05464641</v>
      </c>
      <c r="E13"/>
      <c r="F13"/>
    </row>
    <row r="14" spans="1:6" ht="12.75">
      <c r="A14" s="255" t="s">
        <v>25</v>
      </c>
      <c r="B14" s="171">
        <v>0</v>
      </c>
      <c r="C14" s="171">
        <f>+B14*supuestos!$D$9*(1+supuestos!$D$6)+proyec!B14*(1-supuestos!$D$9)*(1+supuestos!$D$8+supuestos!$D$7+supuestos!$D$6)</f>
        <v>0</v>
      </c>
      <c r="D14" s="171">
        <f>+C14*supuestos!$E$9*(1+supuestos!$E$6)+C14*(1-supuestos!$E$9)*(1+supuestos!$E$8+supuestos!$E$7+supuestos!$E$6)</f>
        <v>0</v>
      </c>
      <c r="E14"/>
      <c r="F14"/>
    </row>
    <row r="15" spans="1:6" ht="12.75">
      <c r="A15" s="255" t="s">
        <v>26</v>
      </c>
      <c r="B15" s="171">
        <v>1378080</v>
      </c>
      <c r="C15" s="171">
        <v>0</v>
      </c>
      <c r="D15" s="171">
        <v>0</v>
      </c>
      <c r="E15"/>
      <c r="F15"/>
    </row>
    <row r="16" spans="1:6" ht="12.75">
      <c r="A16" s="649" t="s">
        <v>540</v>
      </c>
      <c r="B16" s="641">
        <f>+B17+B18</f>
        <v>27433490</v>
      </c>
      <c r="C16" s="641">
        <f>+C17+C18</f>
        <v>32023479.060000002</v>
      </c>
      <c r="D16" s="641">
        <f>+D17+D18</f>
        <v>33944887.803600006</v>
      </c>
      <c r="E16"/>
      <c r="F16"/>
    </row>
    <row r="17" spans="1:6" ht="12.75">
      <c r="A17" s="255" t="s">
        <v>27</v>
      </c>
      <c r="B17" s="171">
        <v>21011490</v>
      </c>
      <c r="C17" s="171">
        <f>+B17*supuestos!D13*(1+supuestos!D12)+proyec!B17*(1-supuestos!D13)*(1+supuestos!D12+supuestos!D14)</f>
        <v>25087719.060000002</v>
      </c>
      <c r="D17" s="171">
        <f>+C17*supuestos!E13*(1+supuestos!E12)+proyec!C17*(1-supuestos!E13)*(1+supuestos!E12+supuestos!E14)</f>
        <v>26592982.203600004</v>
      </c>
      <c r="E17"/>
      <c r="F17"/>
    </row>
    <row r="18" spans="1:6" ht="12.75">
      <c r="A18" s="255" t="s">
        <v>823</v>
      </c>
      <c r="B18" s="171">
        <v>6422000</v>
      </c>
      <c r="C18" s="171">
        <f>+B18*(1+supuestos!D12)</f>
        <v>6935760</v>
      </c>
      <c r="D18" s="171">
        <f>+C18*(1+supuestos!E12)</f>
        <v>7351905.600000001</v>
      </c>
      <c r="E18"/>
      <c r="F18"/>
    </row>
    <row r="19" spans="1:6" ht="12.75">
      <c r="A19" s="255"/>
      <c r="B19" s="171"/>
      <c r="C19" s="171"/>
      <c r="D19" s="171"/>
      <c r="E19"/>
      <c r="F19"/>
    </row>
    <row r="20" spans="1:6" ht="12.75">
      <c r="A20" s="648" t="s">
        <v>809</v>
      </c>
      <c r="B20" s="641">
        <f>+B22+B25+B23</f>
        <v>10083360</v>
      </c>
      <c r="C20" s="641">
        <f>+C22+C25</f>
        <v>11936592.72</v>
      </c>
      <c r="D20" s="641">
        <f>+D22+D25</f>
        <v>13931168.428224001</v>
      </c>
      <c r="E20"/>
      <c r="F20"/>
    </row>
    <row r="21" spans="1:6" ht="12.75">
      <c r="A21" s="255" t="s">
        <v>28</v>
      </c>
      <c r="B21" s="171">
        <v>0</v>
      </c>
      <c r="C21" s="171">
        <v>0</v>
      </c>
      <c r="D21" s="171">
        <v>0</v>
      </c>
      <c r="E21"/>
      <c r="F21"/>
    </row>
    <row r="22" spans="1:6" ht="12.75">
      <c r="A22" s="255" t="s">
        <v>826</v>
      </c>
      <c r="B22" s="171">
        <v>10560</v>
      </c>
      <c r="C22" s="171">
        <f>+B22*(1+supuestos!D12)</f>
        <v>11404.800000000001</v>
      </c>
      <c r="D22" s="171">
        <f>+C22*(1+supuestos!E12)</f>
        <v>12089.088000000002</v>
      </c>
      <c r="E22"/>
      <c r="F22"/>
    </row>
    <row r="23" spans="1:6" ht="12.75">
      <c r="A23" s="255" t="s">
        <v>29</v>
      </c>
      <c r="B23" s="171">
        <v>0</v>
      </c>
      <c r="C23" s="171">
        <f>+B23*(1+supuestos!D13)</f>
        <v>0</v>
      </c>
      <c r="D23" s="171">
        <f>+C23*(1+supuestos!E13)</f>
        <v>0</v>
      </c>
      <c r="E23"/>
      <c r="F23"/>
    </row>
    <row r="24" spans="1:6" ht="12.75">
      <c r="A24" s="255" t="s">
        <v>827</v>
      </c>
      <c r="B24" s="171">
        <v>0</v>
      </c>
      <c r="C24" s="171">
        <v>0</v>
      </c>
      <c r="D24" s="171">
        <v>0</v>
      </c>
      <c r="E24"/>
      <c r="F24"/>
    </row>
    <row r="25" spans="1:6" ht="13.5" thickBot="1">
      <c r="A25" s="255" t="s">
        <v>127</v>
      </c>
      <c r="B25" s="171">
        <v>10072800</v>
      </c>
      <c r="C25" s="171">
        <f>+B25*supuestos!$D$9*(1+supuestos!$D$6)+proyec!B25*(1-supuestos!$D$9)*(1+supuestos!$D$8+supuestos!$D$7+supuestos!$D$6)</f>
        <v>11925187.92</v>
      </c>
      <c r="D25" s="171">
        <f>+C25*supuestos!$E$9*(1+supuestos!$E$6)+C25*(1-supuestos!$E$9)*(1+supuestos!$E$8+supuestos!$E$7+supuestos!$E$6)</f>
        <v>13919079.340224002</v>
      </c>
      <c r="E25"/>
      <c r="F25"/>
    </row>
    <row r="26" spans="1:6" ht="13.5" thickBot="1">
      <c r="A26" s="643" t="s">
        <v>552</v>
      </c>
      <c r="B26" s="640">
        <f>+B8+B20</f>
        <v>100834130</v>
      </c>
      <c r="C26" s="640">
        <f>+C20+C8</f>
        <v>117289890.66</v>
      </c>
      <c r="D26" s="640">
        <f>+D20+D8</f>
        <v>133466620.82856002</v>
      </c>
      <c r="E26"/>
      <c r="F26"/>
    </row>
    <row r="27" spans="1:6" ht="12.75">
      <c r="A27" s="649"/>
      <c r="B27" s="641"/>
      <c r="C27" s="641"/>
      <c r="D27" s="641"/>
      <c r="E27"/>
      <c r="F27"/>
    </row>
    <row r="28" spans="1:6" ht="12.75">
      <c r="A28" s="648" t="s">
        <v>539</v>
      </c>
      <c r="B28" s="641">
        <f>+B29+B33+B34</f>
        <v>90694562</v>
      </c>
      <c r="C28" s="641">
        <f>+C29+C33+C34</f>
        <v>100444794.53180562</v>
      </c>
      <c r="D28" s="641">
        <f>+D29+D33+D34</f>
        <v>111049512.11462268</v>
      </c>
      <c r="E28"/>
      <c r="F28"/>
    </row>
    <row r="29" spans="1:6" ht="12.75">
      <c r="A29" s="649" t="s">
        <v>541</v>
      </c>
      <c r="B29" s="641">
        <f>+B30+B31+B32</f>
        <v>86605922</v>
      </c>
      <c r="C29" s="641">
        <f>+C30+C31+C32</f>
        <v>95659516.92372482</v>
      </c>
      <c r="D29" s="641">
        <f>+D30+D31+D32</f>
        <v>105668729.84479025</v>
      </c>
      <c r="E29"/>
      <c r="F29"/>
    </row>
    <row r="30" spans="1:6" ht="12.75">
      <c r="A30" s="255" t="s">
        <v>542</v>
      </c>
      <c r="B30" s="171">
        <v>60013432</v>
      </c>
      <c r="C30" s="171">
        <f>+B30*supuestos!D16+(proyec!B30*(1-supuestos!D16)*1.02)*(1+supuestos!D18)</f>
        <v>65875928.12372481</v>
      </c>
      <c r="D30" s="171">
        <f>+C30*supuestos!E16+(proyec!C30*(1-supuestos!E16)*1.02)*(1+supuestos!E18)</f>
        <v>72311110.38879025</v>
      </c>
      <c r="E30"/>
      <c r="F30"/>
    </row>
    <row r="31" spans="1:6" ht="12.75">
      <c r="A31" s="255" t="s">
        <v>543</v>
      </c>
      <c r="B31" s="171">
        <v>4505600</v>
      </c>
      <c r="C31" s="171">
        <f>+B31*(1+supuestos!$D$8)</f>
        <v>5046272.000000001</v>
      </c>
      <c r="D31" s="171">
        <f>+C31*(1+supuestos!E8)</f>
        <v>5651824.6400000015</v>
      </c>
      <c r="E31"/>
      <c r="F31"/>
    </row>
    <row r="32" spans="1:6" ht="12.75">
      <c r="A32" s="255" t="s">
        <v>545</v>
      </c>
      <c r="B32" s="171">
        <v>22086890</v>
      </c>
      <c r="C32" s="171">
        <f>+B32*(1+supuestos!$D$8)</f>
        <v>24737316.8</v>
      </c>
      <c r="D32" s="171">
        <f>+C32*(1+supuestos!$D$8)</f>
        <v>27705794.816000003</v>
      </c>
      <c r="E32"/>
      <c r="F32"/>
    </row>
    <row r="33" spans="1:6" ht="12.75">
      <c r="A33" s="649" t="s">
        <v>465</v>
      </c>
      <c r="B33" s="641">
        <v>1834000</v>
      </c>
      <c r="C33" s="641">
        <f>+B33*supuestos!D20</f>
        <v>2260080.8080808083</v>
      </c>
      <c r="D33" s="641">
        <f>+C33*supuestos!E20</f>
        <v>2552561.8538324423</v>
      </c>
      <c r="E33"/>
      <c r="F33"/>
    </row>
    <row r="34" spans="1:6" ht="12.75">
      <c r="A34" s="649" t="s">
        <v>648</v>
      </c>
      <c r="B34" s="641">
        <v>2254640</v>
      </c>
      <c r="C34" s="641">
        <f>+B34*(1+supuestos!$D$8)</f>
        <v>2525196.8000000003</v>
      </c>
      <c r="D34" s="641">
        <f>+C34*(1+supuestos!$D$8)</f>
        <v>2828220.4160000007</v>
      </c>
      <c r="E34"/>
      <c r="F34"/>
    </row>
    <row r="35" spans="1:6" ht="12.75">
      <c r="A35" s="649"/>
      <c r="B35" s="641"/>
      <c r="C35" s="641"/>
      <c r="D35" s="641"/>
      <c r="E35"/>
      <c r="F35"/>
    </row>
    <row r="36" spans="1:6" ht="12.75">
      <c r="A36" s="649" t="s">
        <v>548</v>
      </c>
      <c r="B36" s="641">
        <f>+B37+B38+B39</f>
        <v>15059850</v>
      </c>
      <c r="C36" s="641">
        <f>+C37+C38+C39</f>
        <v>15299066</v>
      </c>
      <c r="D36" s="641">
        <f>+D37+D38+D39</f>
        <v>20871079.04</v>
      </c>
      <c r="E36"/>
      <c r="F36"/>
    </row>
    <row r="37" spans="1:6" ht="12.75">
      <c r="A37" s="255" t="s">
        <v>549</v>
      </c>
      <c r="B37" s="171">
        <v>3391120</v>
      </c>
      <c r="C37" s="171">
        <f>+B37*(1+supuestos!D7)</f>
        <v>3560676</v>
      </c>
      <c r="D37" s="171">
        <f>+C37*(1+supuestos!E7)</f>
        <v>3703103.04</v>
      </c>
      <c r="E37"/>
      <c r="F37"/>
    </row>
    <row r="38" spans="1:6" ht="12.75">
      <c r="A38" s="255" t="s">
        <v>550</v>
      </c>
      <c r="B38" s="171">
        <v>11668730</v>
      </c>
      <c r="C38" s="171">
        <v>11738390</v>
      </c>
      <c r="D38" s="171">
        <v>17167976</v>
      </c>
      <c r="E38"/>
      <c r="F38"/>
    </row>
    <row r="39" spans="1:6" ht="13.5" thickBot="1">
      <c r="A39" s="255" t="s">
        <v>551</v>
      </c>
      <c r="B39" s="171">
        <v>0</v>
      </c>
      <c r="C39" s="171">
        <v>0</v>
      </c>
      <c r="D39" s="171">
        <v>0</v>
      </c>
      <c r="E39"/>
      <c r="F39" s="1"/>
    </row>
    <row r="40" spans="1:6" ht="13.5" thickBot="1">
      <c r="A40" s="643" t="s">
        <v>561</v>
      </c>
      <c r="B40" s="640">
        <f>+B36+B28</f>
        <v>105754412</v>
      </c>
      <c r="C40" s="640">
        <f>+C36+C28</f>
        <v>115743860.53180562</v>
      </c>
      <c r="D40" s="640">
        <f>+D36+D28</f>
        <v>131920591.15462267</v>
      </c>
      <c r="E40"/>
      <c r="F40"/>
    </row>
    <row r="41" spans="1:6" ht="12.75">
      <c r="A41" s="649"/>
      <c r="B41" s="644"/>
      <c r="C41" s="644"/>
      <c r="D41" s="644"/>
      <c r="E41"/>
      <c r="F41"/>
    </row>
    <row r="42" spans="1:6" ht="12.75">
      <c r="A42" s="650" t="s">
        <v>132</v>
      </c>
      <c r="B42" s="645">
        <f>+B8-B28+B33</f>
        <v>1890208</v>
      </c>
      <c r="C42" s="645">
        <f>+C8-C28+C33</f>
        <v>7168584.216275186</v>
      </c>
      <c r="D42" s="645">
        <f>+D8-D28+D33</f>
        <v>11038502.139545787</v>
      </c>
      <c r="E42"/>
      <c r="F42"/>
    </row>
    <row r="43" spans="1:6" ht="12.75">
      <c r="A43" s="649" t="s">
        <v>133</v>
      </c>
      <c r="B43" s="641">
        <f>+B8-B28</f>
        <v>56208</v>
      </c>
      <c r="C43" s="641">
        <f>+C8-C28</f>
        <v>4908503.408194378</v>
      </c>
      <c r="D43" s="641">
        <f>+D8-D28</f>
        <v>8485940.285713345</v>
      </c>
      <c r="E43"/>
      <c r="F43"/>
    </row>
    <row r="44" spans="1:6" ht="12.75">
      <c r="A44" s="651" t="s">
        <v>134</v>
      </c>
      <c r="B44" s="647">
        <f>+B26-B40</f>
        <v>-4920282</v>
      </c>
      <c r="C44" s="647">
        <f>+C26-C40</f>
        <v>1546030.1281943768</v>
      </c>
      <c r="D44" s="647">
        <f>+D26-D40</f>
        <v>1546029.6739373505</v>
      </c>
      <c r="E44"/>
      <c r="F44"/>
    </row>
    <row r="45" spans="1:6" ht="12.75">
      <c r="A45" s="649"/>
      <c r="B45" s="641"/>
      <c r="C45" s="641"/>
      <c r="D45" s="641"/>
      <c r="E45"/>
      <c r="F45"/>
    </row>
    <row r="46" spans="1:6" ht="12.75">
      <c r="A46" s="649" t="s">
        <v>634</v>
      </c>
      <c r="B46" s="641">
        <f>+B47+B51+B55</f>
        <v>8603062</v>
      </c>
      <c r="C46" s="641">
        <f>+C47+C51+C55</f>
        <v>2136750</v>
      </c>
      <c r="D46" s="641">
        <f>+D47+D51+D55</f>
        <v>2136750</v>
      </c>
      <c r="E46"/>
      <c r="F46"/>
    </row>
    <row r="47" spans="1:4" s="638" customFormat="1" ht="12.75">
      <c r="A47" s="652" t="s">
        <v>562</v>
      </c>
      <c r="B47" s="642">
        <f>+B48+B49+B50</f>
        <v>4136750</v>
      </c>
      <c r="C47" s="642">
        <f>+C48+C49+C50</f>
        <v>2136750</v>
      </c>
      <c r="D47" s="642">
        <f>+D48+D49+D50</f>
        <v>2136750</v>
      </c>
    </row>
    <row r="48" spans="1:6" ht="12.75">
      <c r="A48" s="255" t="s">
        <v>40</v>
      </c>
      <c r="B48" s="171">
        <v>2000000</v>
      </c>
      <c r="C48" s="171">
        <v>0</v>
      </c>
      <c r="D48" s="171">
        <v>0</v>
      </c>
      <c r="E48"/>
      <c r="F48"/>
    </row>
    <row r="49" spans="1:6" ht="12.75">
      <c r="A49" s="255" t="s">
        <v>41</v>
      </c>
      <c r="B49" s="171">
        <v>0</v>
      </c>
      <c r="C49" s="171">
        <v>0</v>
      </c>
      <c r="D49" s="171">
        <v>0</v>
      </c>
      <c r="E49"/>
      <c r="F49"/>
    </row>
    <row r="50" spans="1:6" ht="12.75">
      <c r="A50" s="255" t="s">
        <v>42</v>
      </c>
      <c r="B50" s="171">
        <v>2136750</v>
      </c>
      <c r="C50" s="171">
        <f>+B50</f>
        <v>2136750</v>
      </c>
      <c r="D50" s="171">
        <f>+C50</f>
        <v>2136750</v>
      </c>
      <c r="E50"/>
      <c r="F50"/>
    </row>
    <row r="51" spans="1:4" s="638" customFormat="1" ht="12.75">
      <c r="A51" s="652" t="s">
        <v>560</v>
      </c>
      <c r="B51" s="642">
        <f>+B52+B53</f>
        <v>0</v>
      </c>
      <c r="C51" s="642">
        <v>0</v>
      </c>
      <c r="D51" s="642">
        <v>0</v>
      </c>
    </row>
    <row r="52" spans="1:6" ht="12.75">
      <c r="A52" s="255" t="s">
        <v>135</v>
      </c>
      <c r="B52" s="171"/>
      <c r="C52" s="171">
        <v>0</v>
      </c>
      <c r="D52" s="171">
        <v>0</v>
      </c>
      <c r="E52"/>
      <c r="F52"/>
    </row>
    <row r="53" spans="1:6" ht="12.75">
      <c r="A53" s="255" t="s">
        <v>44</v>
      </c>
      <c r="B53" s="171"/>
      <c r="C53" s="171">
        <v>0</v>
      </c>
      <c r="D53" s="171">
        <v>0</v>
      </c>
      <c r="E53"/>
      <c r="F53"/>
    </row>
    <row r="54" spans="1:4" s="638" customFormat="1" ht="12.75">
      <c r="A54" s="652" t="s">
        <v>828</v>
      </c>
      <c r="B54" s="642">
        <v>0</v>
      </c>
      <c r="C54" s="642">
        <v>0</v>
      </c>
      <c r="D54" s="642">
        <v>0</v>
      </c>
    </row>
    <row r="55" spans="1:4" s="638" customFormat="1" ht="12.75">
      <c r="A55" s="652" t="s">
        <v>829</v>
      </c>
      <c r="B55" s="642">
        <v>4466312</v>
      </c>
      <c r="C55" s="642">
        <v>0</v>
      </c>
      <c r="D55" s="642">
        <v>0</v>
      </c>
    </row>
    <row r="56" spans="1:4" s="638" customFormat="1" ht="12.75">
      <c r="A56" s="652" t="s">
        <v>830</v>
      </c>
      <c r="B56" s="642">
        <v>0</v>
      </c>
      <c r="C56" s="642">
        <v>0</v>
      </c>
      <c r="D56" s="642">
        <v>0</v>
      </c>
    </row>
    <row r="57" spans="1:6" ht="12.75">
      <c r="A57" s="255"/>
      <c r="B57" s="171"/>
      <c r="C57" s="171"/>
      <c r="D57" s="171"/>
      <c r="E57"/>
      <c r="F57"/>
    </row>
    <row r="58" spans="1:6" ht="12.75">
      <c r="A58" s="649" t="s">
        <v>553</v>
      </c>
      <c r="B58" s="641">
        <f>+B59+B60</f>
        <v>3682780</v>
      </c>
      <c r="C58" s="641">
        <f>+C59+C60</f>
        <v>3682780</v>
      </c>
      <c r="D58" s="641">
        <f>+D59+D60</f>
        <v>3682780</v>
      </c>
      <c r="E58"/>
      <c r="F58"/>
    </row>
    <row r="59" spans="1:6" ht="12.75">
      <c r="A59" s="255" t="s">
        <v>1063</v>
      </c>
      <c r="B59" s="171">
        <v>1546030</v>
      </c>
      <c r="C59" s="171">
        <f>+B59</f>
        <v>1546030</v>
      </c>
      <c r="D59" s="171">
        <f>+C59</f>
        <v>1546030</v>
      </c>
      <c r="E59"/>
      <c r="F59"/>
    </row>
    <row r="60" spans="1:6" ht="12.75">
      <c r="A60" s="255" t="s">
        <v>1064</v>
      </c>
      <c r="B60" s="171">
        <v>2136750</v>
      </c>
      <c r="C60" s="171">
        <f>+B60</f>
        <v>2136750</v>
      </c>
      <c r="D60" s="171">
        <f>+C60</f>
        <v>2136750</v>
      </c>
      <c r="E60"/>
      <c r="F60"/>
    </row>
    <row r="61" spans="1:6" ht="12.75">
      <c r="A61" s="255"/>
      <c r="B61" s="171"/>
      <c r="C61" s="171"/>
      <c r="D61" s="171"/>
      <c r="E61"/>
      <c r="F61"/>
    </row>
    <row r="62" spans="1:6" ht="12.75">
      <c r="A62" s="650" t="s">
        <v>564</v>
      </c>
      <c r="B62" s="641">
        <f>+B46+B26</f>
        <v>109437192</v>
      </c>
      <c r="C62" s="641">
        <f>+C46+C26</f>
        <v>119426640.66</v>
      </c>
      <c r="D62" s="641">
        <f>+D46+D26</f>
        <v>135603370.82856002</v>
      </c>
      <c r="E62"/>
      <c r="F62"/>
    </row>
    <row r="63" spans="1:6" ht="12.75">
      <c r="A63" s="651" t="s">
        <v>136</v>
      </c>
      <c r="B63" s="641">
        <f>+B40+B58</f>
        <v>109437192</v>
      </c>
      <c r="C63" s="641">
        <f>+C40+C58</f>
        <v>119426640.53180562</v>
      </c>
      <c r="D63" s="641">
        <f>+D40+D58</f>
        <v>135603371.15462267</v>
      </c>
      <c r="E63"/>
      <c r="F63"/>
    </row>
    <row r="64" spans="1:6" ht="13.5" thickBot="1">
      <c r="A64" s="653"/>
      <c r="B64" s="646"/>
      <c r="C64" s="646"/>
      <c r="D64" s="646"/>
      <c r="E64"/>
      <c r="F64"/>
    </row>
    <row r="65" spans="1:4" s="41" customFormat="1" ht="13.5" thickBot="1">
      <c r="A65" s="643" t="s">
        <v>137</v>
      </c>
      <c r="B65" s="640">
        <f>+B62-B63</f>
        <v>0</v>
      </c>
      <c r="C65" s="640">
        <f>+C62-C63</f>
        <v>0.12819437682628632</v>
      </c>
      <c r="D65" s="640">
        <f>+D62-D63</f>
        <v>-0.3260626494884491</v>
      </c>
    </row>
    <row r="66" spans="5:6" ht="12.75">
      <c r="E66"/>
      <c r="F66"/>
    </row>
  </sheetData>
  <sheetProtection/>
  <mergeCells count="2">
    <mergeCell ref="D1:F1"/>
    <mergeCell ref="A2:C2"/>
  </mergeCells>
  <printOptions horizontalCentered="1"/>
  <pageMargins left="0.66" right="0.75" top="0.31496062992125984" bottom="1" header="0" footer="0"/>
  <pageSetup horizontalDpi="600" verticalDpi="600" orientation="portrait" paperSize="9" scale="85" r:id="rId1"/>
  <colBreaks count="1" manualBreakCount="1">
    <brk id="5" max="64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4">
      <selection activeCell="B22" sqref="B22"/>
    </sheetView>
  </sheetViews>
  <sheetFormatPr defaultColWidth="11.421875" defaultRowHeight="12.75"/>
  <cols>
    <col min="2" max="2" width="42.140625" style="0" customWidth="1"/>
  </cols>
  <sheetData>
    <row r="1" spans="1:7" ht="12.75">
      <c r="A1" s="15"/>
      <c r="B1" s="147" t="str">
        <f>+proyec!A1</f>
        <v>0RDENANZA N° </v>
      </c>
      <c r="C1" s="84"/>
      <c r="D1" s="107"/>
      <c r="F1" s="33"/>
      <c r="G1" s="48"/>
    </row>
    <row r="2" spans="1:6" ht="15">
      <c r="A2" s="15"/>
      <c r="B2" s="761" t="s">
        <v>382</v>
      </c>
      <c r="C2" s="761"/>
      <c r="D2" s="761"/>
      <c r="E2" s="761"/>
      <c r="F2" s="761"/>
    </row>
    <row r="3" spans="1:7" ht="12.75">
      <c r="A3" s="15"/>
      <c r="B3" s="33" t="s">
        <v>466</v>
      </c>
      <c r="C3" s="15"/>
      <c r="D3" s="15"/>
      <c r="E3" s="15"/>
      <c r="F3" s="15"/>
      <c r="G3" s="15"/>
    </row>
    <row r="4" spans="1:7" ht="13.5" thickBot="1">
      <c r="A4" s="15"/>
      <c r="B4" s="15"/>
      <c r="C4" s="15"/>
      <c r="D4" s="15"/>
      <c r="E4" s="15"/>
      <c r="F4" s="15"/>
      <c r="G4" s="15"/>
    </row>
    <row r="5" spans="1:7" ht="13.5" thickBot="1">
      <c r="A5" s="15"/>
      <c r="B5" s="295" t="s">
        <v>467</v>
      </c>
      <c r="C5" s="295" t="s">
        <v>463</v>
      </c>
      <c r="D5" s="295" t="s">
        <v>464</v>
      </c>
      <c r="E5" s="295" t="s">
        <v>892</v>
      </c>
      <c r="F5" s="15"/>
      <c r="G5" s="15"/>
    </row>
    <row r="6" spans="1:5" ht="12.75">
      <c r="A6" s="15"/>
      <c r="B6" s="635" t="s">
        <v>468</v>
      </c>
      <c r="C6" s="636">
        <v>0.07</v>
      </c>
      <c r="D6" s="636">
        <v>0.07</v>
      </c>
      <c r="E6" s="637">
        <v>0.06</v>
      </c>
    </row>
    <row r="7" spans="1:5" ht="12.75">
      <c r="A7" s="15"/>
      <c r="B7" s="619" t="s">
        <v>469</v>
      </c>
      <c r="C7" s="387">
        <v>0.06</v>
      </c>
      <c r="D7" s="387">
        <v>0.05</v>
      </c>
      <c r="E7" s="620">
        <v>0.04</v>
      </c>
    </row>
    <row r="8" spans="1:5" ht="12.75">
      <c r="A8" s="15"/>
      <c r="B8" s="619" t="s">
        <v>470</v>
      </c>
      <c r="C8" s="387">
        <v>0.11</v>
      </c>
      <c r="D8" s="387">
        <v>0.12</v>
      </c>
      <c r="E8" s="620">
        <v>0.12</v>
      </c>
    </row>
    <row r="9" spans="1:5" ht="12.75">
      <c r="A9" s="15"/>
      <c r="B9" s="619" t="s">
        <v>471</v>
      </c>
      <c r="C9" s="387">
        <v>0.33</v>
      </c>
      <c r="D9" s="387">
        <v>0.33</v>
      </c>
      <c r="E9" s="620">
        <v>0.33</v>
      </c>
    </row>
    <row r="10" spans="1:5" ht="12.75">
      <c r="A10" s="15"/>
      <c r="B10" s="619" t="s">
        <v>472</v>
      </c>
      <c r="C10" s="621">
        <v>3.3</v>
      </c>
      <c r="D10" s="621">
        <v>3.4</v>
      </c>
      <c r="E10" s="622">
        <v>3.5</v>
      </c>
    </row>
    <row r="11" spans="1:5" ht="12.75">
      <c r="A11" s="15"/>
      <c r="B11" s="619" t="s">
        <v>129</v>
      </c>
      <c r="C11" s="623">
        <v>0.09</v>
      </c>
      <c r="D11" s="623">
        <v>0.1</v>
      </c>
      <c r="E11" s="624">
        <v>0.11</v>
      </c>
    </row>
    <row r="12" spans="1:5" ht="12.75">
      <c r="A12" s="15"/>
      <c r="B12" s="625" t="s">
        <v>473</v>
      </c>
      <c r="C12" s="387">
        <v>0.09</v>
      </c>
      <c r="D12" s="387">
        <v>0.08</v>
      </c>
      <c r="E12" s="620">
        <v>0.06</v>
      </c>
    </row>
    <row r="13" spans="1:5" ht="12.75">
      <c r="A13" s="15"/>
      <c r="B13" s="625" t="s">
        <v>474</v>
      </c>
      <c r="C13" s="387">
        <v>0.24</v>
      </c>
      <c r="D13" s="387">
        <v>0.24</v>
      </c>
      <c r="E13" s="620">
        <v>0.24</v>
      </c>
    </row>
    <row r="14" spans="1:5" ht="12.75">
      <c r="A14" s="15"/>
      <c r="B14" s="625" t="s">
        <v>475</v>
      </c>
      <c r="C14" s="387">
        <v>0</v>
      </c>
      <c r="D14" s="387">
        <v>0.15</v>
      </c>
      <c r="E14" s="620">
        <v>0</v>
      </c>
    </row>
    <row r="15" spans="1:5" ht="12.75">
      <c r="A15" s="15"/>
      <c r="B15" s="625" t="s">
        <v>476</v>
      </c>
      <c r="C15" s="388">
        <v>0</v>
      </c>
      <c r="D15" s="388">
        <v>0.03</v>
      </c>
      <c r="E15" s="626">
        <v>0.03</v>
      </c>
    </row>
    <row r="16" spans="1:5" ht="12.75">
      <c r="A16" s="15"/>
      <c r="B16" s="625" t="s">
        <v>477</v>
      </c>
      <c r="C16" s="389">
        <v>0.314</v>
      </c>
      <c r="D16" s="389">
        <v>0.314</v>
      </c>
      <c r="E16" s="627">
        <v>0.314</v>
      </c>
    </row>
    <row r="17" spans="1:5" ht="12.75">
      <c r="A17" s="15"/>
      <c r="B17" s="625" t="s">
        <v>478</v>
      </c>
      <c r="C17" s="628"/>
      <c r="D17" s="628"/>
      <c r="E17" s="629"/>
    </row>
    <row r="18" spans="1:5" ht="12.75">
      <c r="A18" s="15"/>
      <c r="B18" s="625" t="s">
        <v>479</v>
      </c>
      <c r="C18" s="388">
        <v>0.12</v>
      </c>
      <c r="D18" s="388">
        <v>0.12</v>
      </c>
      <c r="E18" s="626">
        <v>0.12</v>
      </c>
    </row>
    <row r="19" spans="1:5" ht="12.75">
      <c r="A19" s="15"/>
      <c r="B19" s="625"/>
      <c r="C19" s="630"/>
      <c r="D19" s="630"/>
      <c r="E19" s="631"/>
    </row>
    <row r="20" spans="1:5" ht="13.5" thickBot="1">
      <c r="A20" s="15"/>
      <c r="B20" s="632" t="s">
        <v>130</v>
      </c>
      <c r="C20" s="633">
        <v>0</v>
      </c>
      <c r="D20" s="633">
        <f>1+((D8-C8)/C8+(D10-C10)/C10+(D11-C11)/C11)</f>
        <v>1.2323232323232325</v>
      </c>
      <c r="E20" s="634">
        <f>1+((E8-D8)/D8+(E10-D10)/D10+(E11-D11)/D11)</f>
        <v>1.1294117647058823</v>
      </c>
    </row>
    <row r="21" ht="13.5" thickTop="1"/>
  </sheetData>
  <sheetProtection/>
  <mergeCells count="1">
    <mergeCell ref="B2:F2"/>
  </mergeCells>
  <printOptions horizontalCentered="1"/>
  <pageMargins left="0.75" right="0.75" top="0.6299212598425197" bottom="1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7.8515625" style="0" customWidth="1"/>
    <col min="2" max="2" width="21.140625" style="0" customWidth="1"/>
  </cols>
  <sheetData>
    <row r="1" spans="1:3" ht="12.75">
      <c r="A1" s="54" t="s">
        <v>480</v>
      </c>
      <c r="B1" s="148"/>
      <c r="C1" s="33"/>
    </row>
    <row r="2" spans="1:6" ht="15">
      <c r="A2" s="761" t="s">
        <v>382</v>
      </c>
      <c r="B2" s="761"/>
      <c r="C2" s="761"/>
      <c r="D2" s="109"/>
      <c r="E2" s="109"/>
      <c r="F2" s="109"/>
    </row>
    <row r="3" spans="1:3" ht="12.75">
      <c r="A3" s="33" t="s">
        <v>481</v>
      </c>
      <c r="B3" s="149"/>
      <c r="C3" s="15"/>
    </row>
    <row r="4" spans="1:3" ht="12.75">
      <c r="A4" t="s">
        <v>482</v>
      </c>
      <c r="B4" s="149"/>
      <c r="C4" s="15"/>
    </row>
    <row r="5" spans="1:3" ht="12.75">
      <c r="A5" s="33"/>
      <c r="B5" s="149"/>
      <c r="C5" s="15"/>
    </row>
    <row r="6" ht="13.5" thickBot="1">
      <c r="B6" s="150"/>
    </row>
    <row r="7" spans="1:2" ht="13.5" thickBot="1">
      <c r="A7" s="295" t="s">
        <v>483</v>
      </c>
      <c r="B7" s="295" t="s">
        <v>484</v>
      </c>
    </row>
    <row r="8" ht="12.75">
      <c r="B8" s="1"/>
    </row>
    <row r="9" spans="1:2" ht="15" customHeight="1">
      <c r="A9" t="s">
        <v>485</v>
      </c>
      <c r="B9" s="1">
        <v>70000</v>
      </c>
    </row>
    <row r="10" spans="1:2" ht="15" customHeight="1">
      <c r="A10" t="s">
        <v>486</v>
      </c>
      <c r="B10" s="1">
        <v>18000</v>
      </c>
    </row>
    <row r="11" spans="1:2" ht="15" customHeight="1">
      <c r="A11" t="s">
        <v>487</v>
      </c>
      <c r="B11" s="1">
        <v>165000</v>
      </c>
    </row>
    <row r="12" spans="1:2" ht="15" customHeight="1" thickBot="1">
      <c r="A12" t="s">
        <v>488</v>
      </c>
      <c r="B12" s="1">
        <v>140000</v>
      </c>
    </row>
    <row r="13" spans="1:2" ht="13.5" thickBot="1">
      <c r="A13" s="295" t="s">
        <v>489</v>
      </c>
      <c r="B13" s="390">
        <f>SUM(B9:B12)</f>
        <v>393000</v>
      </c>
    </row>
    <row r="14" ht="12.75">
      <c r="B14" s="1"/>
    </row>
    <row r="15" ht="12.75">
      <c r="B15" s="1"/>
    </row>
    <row r="16" ht="12.75">
      <c r="B16" s="1"/>
    </row>
    <row r="17" ht="12.75">
      <c r="B17" s="1"/>
    </row>
  </sheetData>
  <sheetProtection/>
  <mergeCells count="1">
    <mergeCell ref="A2:C2"/>
  </mergeCells>
  <printOptions horizontalCentered="1"/>
  <pageMargins left="0.75" right="0.75" top="0.4724409448818898" bottom="1" header="0" footer="0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79.7109375" style="0" customWidth="1"/>
    <col min="2" max="2" width="18.421875" style="150" bestFit="1" customWidth="1"/>
    <col min="4" max="4" width="12.28125" style="0" bestFit="1" customWidth="1"/>
  </cols>
  <sheetData>
    <row r="1" spans="1:3" ht="12.75">
      <c r="A1" s="102" t="str">
        <f>+'costo trib'!A1</f>
        <v>Ordenanza Nº </v>
      </c>
      <c r="B1" s="107"/>
      <c r="C1" s="33"/>
    </row>
    <row r="2" spans="1:5" ht="15">
      <c r="A2" s="109" t="s">
        <v>382</v>
      </c>
      <c r="B2" s="109"/>
      <c r="C2" s="109"/>
      <c r="D2" s="109"/>
      <c r="E2" s="109"/>
    </row>
    <row r="3" spans="1:5" ht="12.75">
      <c r="A3" s="33" t="s">
        <v>490</v>
      </c>
      <c r="B3" s="149"/>
      <c r="C3" s="15"/>
      <c r="D3" s="15"/>
      <c r="E3" s="15"/>
    </row>
    <row r="4" ht="13.5" thickBot="1"/>
    <row r="5" spans="1:2" ht="13.5" thickBot="1">
      <c r="A5" s="295" t="s">
        <v>491</v>
      </c>
      <c r="B5" s="295" t="s">
        <v>484</v>
      </c>
    </row>
    <row r="6" spans="1:2" ht="12.75">
      <c r="A6" s="33" t="s">
        <v>492</v>
      </c>
      <c r="B6" s="151"/>
    </row>
    <row r="7" spans="1:2" ht="25.5">
      <c r="A7" s="394" t="s">
        <v>109</v>
      </c>
      <c r="B7" s="152">
        <v>188770</v>
      </c>
    </row>
    <row r="8" ht="12.75">
      <c r="B8" s="151"/>
    </row>
    <row r="9" spans="1:2" ht="12.75">
      <c r="A9" s="33" t="s">
        <v>111</v>
      </c>
      <c r="B9" s="151"/>
    </row>
    <row r="10" spans="1:4" ht="12.75">
      <c r="A10" s="126" t="s">
        <v>495</v>
      </c>
      <c r="B10" s="151">
        <v>157000</v>
      </c>
      <c r="D10" s="88"/>
    </row>
    <row r="11" spans="1:4" ht="12.75">
      <c r="A11" s="126" t="s">
        <v>496</v>
      </c>
      <c r="B11" s="151">
        <v>40000</v>
      </c>
      <c r="D11" s="88"/>
    </row>
    <row r="12" spans="1:4" ht="12.75">
      <c r="A12" s="126" t="s">
        <v>497</v>
      </c>
      <c r="B12" s="153">
        <v>3000</v>
      </c>
      <c r="D12" s="88"/>
    </row>
    <row r="13" spans="1:4" ht="12.75">
      <c r="A13" s="126" t="s">
        <v>498</v>
      </c>
      <c r="B13" s="152">
        <f>SUM(B10:B12)</f>
        <v>200000</v>
      </c>
      <c r="D13" s="88"/>
    </row>
    <row r="14" ht="12.75">
      <c r="B14" s="151"/>
    </row>
    <row r="15" spans="1:2" ht="12.75">
      <c r="A15" s="33" t="s">
        <v>112</v>
      </c>
      <c r="B15" s="151"/>
    </row>
    <row r="16" spans="1:2" ht="12.75">
      <c r="A16" t="s">
        <v>499</v>
      </c>
      <c r="B16" s="152">
        <v>26600</v>
      </c>
    </row>
    <row r="17" ht="12.75">
      <c r="B17" s="151"/>
    </row>
    <row r="18" spans="1:2" ht="12.75">
      <c r="A18" s="33" t="s">
        <v>500</v>
      </c>
      <c r="B18" s="151"/>
    </row>
    <row r="19" spans="1:2" ht="12.75">
      <c r="A19" t="s">
        <v>501</v>
      </c>
      <c r="B19" s="151">
        <v>74000</v>
      </c>
    </row>
    <row r="20" spans="1:2" ht="12.75">
      <c r="A20" t="s">
        <v>502</v>
      </c>
      <c r="B20" s="151">
        <v>1024000</v>
      </c>
    </row>
    <row r="21" spans="1:2" ht="13.5" thickBot="1">
      <c r="A21" t="s">
        <v>503</v>
      </c>
      <c r="B21" s="391">
        <v>131270</v>
      </c>
    </row>
    <row r="22" spans="1:3" ht="12.75">
      <c r="A22" t="s">
        <v>504</v>
      </c>
      <c r="B22" s="152">
        <f>SUM(B19:B21)</f>
        <v>1229270</v>
      </c>
      <c r="C22" s="395"/>
    </row>
    <row r="23" ht="12.75">
      <c r="B23" s="151"/>
    </row>
    <row r="24" ht="12.75">
      <c r="A24" s="33" t="s">
        <v>110</v>
      </c>
    </row>
    <row r="25" spans="1:2" ht="12.75">
      <c r="A25" t="s">
        <v>114</v>
      </c>
      <c r="B25" s="148"/>
    </row>
    <row r="26" spans="1:2" ht="12.75">
      <c r="A26" t="s">
        <v>115</v>
      </c>
      <c r="B26" s="148">
        <v>600000</v>
      </c>
    </row>
    <row r="27" ht="12.75">
      <c r="B27" s="151"/>
    </row>
    <row r="28" ht="12.75">
      <c r="B28" s="151"/>
    </row>
    <row r="29" ht="12.75">
      <c r="A29" s="33" t="s">
        <v>505</v>
      </c>
    </row>
    <row r="30" spans="1:2" ht="12.75">
      <c r="A30" t="s">
        <v>113</v>
      </c>
      <c r="B30" s="148">
        <v>10000</v>
      </c>
    </row>
    <row r="31" ht="13.5" thickBot="1">
      <c r="B31" s="148"/>
    </row>
    <row r="32" spans="1:2" ht="13.5" thickBot="1">
      <c r="A32" s="295" t="s">
        <v>506</v>
      </c>
      <c r="B32" s="390">
        <f>+B7+B13+B16+B22+B26+B30</f>
        <v>2254640</v>
      </c>
    </row>
  </sheetData>
  <sheetProtection/>
  <printOptions horizontalCentered="1"/>
  <pageMargins left="0.4724409448818898" right="0.75" top="0.7086614173228347" bottom="1" header="0" footer="0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2312"/>
  <sheetViews>
    <sheetView zoomScale="75" zoomScaleNormal="75" zoomScaleSheetLayoutView="50" zoomScalePageLayoutView="0" workbookViewId="0" topLeftCell="B288">
      <selection activeCell="E306" sqref="E306"/>
    </sheetView>
  </sheetViews>
  <sheetFormatPr defaultColWidth="11.421875" defaultRowHeight="12.75"/>
  <cols>
    <col min="1" max="1" width="100.421875" style="478" customWidth="1"/>
    <col min="2" max="2" width="77.57421875" style="478" bestFit="1" customWidth="1"/>
    <col min="3" max="3" width="24.7109375" style="478" bestFit="1" customWidth="1"/>
    <col min="4" max="4" width="11.421875" style="478" customWidth="1"/>
    <col min="5" max="5" width="15.7109375" style="478" bestFit="1" customWidth="1"/>
    <col min="6" max="16384" width="11.421875" style="478" customWidth="1"/>
  </cols>
  <sheetData>
    <row r="1" spans="1:3" ht="20.25">
      <c r="A1" s="880" t="s">
        <v>382</v>
      </c>
      <c r="B1" s="880"/>
      <c r="C1" s="880"/>
    </row>
    <row r="2" ht="15.75" thickBot="1"/>
    <row r="3" spans="1:3" ht="18.75" thickBot="1">
      <c r="A3" s="881" t="s">
        <v>173</v>
      </c>
      <c r="B3" s="882"/>
      <c r="C3" s="883"/>
    </row>
    <row r="4" s="479" customFormat="1" ht="15.75" thickBot="1"/>
    <row r="5" spans="1:3" ht="18">
      <c r="A5" s="480" t="s">
        <v>507</v>
      </c>
      <c r="B5" s="481" t="s">
        <v>174</v>
      </c>
      <c r="C5" s="482" t="s">
        <v>175</v>
      </c>
    </row>
    <row r="6" spans="1:3" ht="7.5" customHeight="1">
      <c r="A6" s="483"/>
      <c r="B6" s="484"/>
      <c r="C6" s="485"/>
    </row>
    <row r="7" spans="1:3" ht="18">
      <c r="A7" s="486" t="s">
        <v>508</v>
      </c>
      <c r="B7" s="484"/>
      <c r="C7" s="487"/>
    </row>
    <row r="8" spans="1:3" ht="18">
      <c r="A8" s="488"/>
      <c r="B8" s="484"/>
      <c r="C8" s="487"/>
    </row>
    <row r="9" spans="1:3" ht="15.75">
      <c r="A9" s="489" t="s">
        <v>514</v>
      </c>
      <c r="B9" s="490"/>
      <c r="C9" s="487"/>
    </row>
    <row r="10" spans="1:3" ht="15">
      <c r="A10" s="492" t="s">
        <v>176</v>
      </c>
      <c r="B10" s="364" t="s">
        <v>177</v>
      </c>
      <c r="C10" s="487" t="s">
        <v>178</v>
      </c>
    </row>
    <row r="11" spans="1:3" ht="15">
      <c r="A11" s="483"/>
      <c r="B11" s="484"/>
      <c r="C11" s="487"/>
    </row>
    <row r="12" spans="1:3" ht="15.75">
      <c r="A12" s="493" t="s">
        <v>509</v>
      </c>
      <c r="B12" s="484"/>
      <c r="C12" s="487"/>
    </row>
    <row r="13" spans="1:3" ht="15">
      <c r="A13" s="491" t="s">
        <v>179</v>
      </c>
      <c r="B13" s="490" t="s">
        <v>180</v>
      </c>
      <c r="C13" s="494">
        <v>49940</v>
      </c>
    </row>
    <row r="14" spans="1:3" ht="15">
      <c r="A14" s="491"/>
      <c r="B14" s="490"/>
      <c r="C14" s="494"/>
    </row>
    <row r="15" spans="1:3" ht="15.75">
      <c r="A15" s="489" t="s">
        <v>517</v>
      </c>
      <c r="B15" s="490"/>
      <c r="C15" s="494"/>
    </row>
    <row r="16" spans="1:4" ht="15">
      <c r="A16" s="495" t="s">
        <v>181</v>
      </c>
      <c r="B16" s="364" t="s">
        <v>182</v>
      </c>
      <c r="C16" s="494">
        <v>12000</v>
      </c>
      <c r="D16" s="496"/>
    </row>
    <row r="17" spans="1:4" ht="15.75">
      <c r="A17" s="495" t="s">
        <v>183</v>
      </c>
      <c r="B17" s="364" t="s">
        <v>182</v>
      </c>
      <c r="C17" s="494">
        <v>4500</v>
      </c>
      <c r="D17" s="496"/>
    </row>
    <row r="18" spans="1:4" ht="15">
      <c r="A18" s="495" t="s">
        <v>184</v>
      </c>
      <c r="B18" s="364" t="s">
        <v>182</v>
      </c>
      <c r="C18" s="494">
        <v>5400</v>
      </c>
      <c r="D18" s="496"/>
    </row>
    <row r="19" spans="1:4" ht="15">
      <c r="A19" s="495" t="s">
        <v>185</v>
      </c>
      <c r="B19" s="364" t="s">
        <v>182</v>
      </c>
      <c r="C19" s="494">
        <v>1500</v>
      </c>
      <c r="D19" s="496"/>
    </row>
    <row r="20" spans="1:4" ht="15">
      <c r="A20" s="495"/>
      <c r="B20" s="364"/>
      <c r="C20" s="497"/>
      <c r="D20" s="496"/>
    </row>
    <row r="21" spans="1:4" ht="15.75">
      <c r="A21" s="498" t="s">
        <v>518</v>
      </c>
      <c r="B21" s="364"/>
      <c r="C21" s="497"/>
      <c r="D21" s="499"/>
    </row>
    <row r="22" spans="1:4" ht="15">
      <c r="A22" s="492" t="s">
        <v>186</v>
      </c>
      <c r="B22" s="364" t="s">
        <v>187</v>
      </c>
      <c r="C22" s="497"/>
      <c r="D22" s="499"/>
    </row>
    <row r="23" spans="1:4" ht="15">
      <c r="A23" s="495" t="s">
        <v>188</v>
      </c>
      <c r="B23" s="364" t="s">
        <v>189</v>
      </c>
      <c r="C23" s="497" t="s">
        <v>190</v>
      </c>
      <c r="D23" s="496"/>
    </row>
    <row r="24" spans="1:4" ht="15">
      <c r="A24" s="495"/>
      <c r="B24" s="364"/>
      <c r="C24" s="497"/>
      <c r="D24" s="496"/>
    </row>
    <row r="25" spans="1:3" ht="18">
      <c r="A25" s="486" t="s">
        <v>515</v>
      </c>
      <c r="B25" s="490"/>
      <c r="C25" s="500"/>
    </row>
    <row r="26" spans="1:3" ht="15">
      <c r="A26" s="491"/>
      <c r="B26" s="490"/>
      <c r="C26" s="500"/>
    </row>
    <row r="27" spans="1:3" ht="15.75">
      <c r="A27" s="489" t="s">
        <v>191</v>
      </c>
      <c r="B27" s="490"/>
      <c r="C27" s="500"/>
    </row>
    <row r="28" spans="1:3" ht="15">
      <c r="A28" s="491" t="s">
        <v>192</v>
      </c>
      <c r="B28" s="364" t="s">
        <v>189</v>
      </c>
      <c r="C28" s="497" t="s">
        <v>190</v>
      </c>
    </row>
    <row r="29" spans="1:3" ht="15">
      <c r="A29" s="491" t="s">
        <v>193</v>
      </c>
      <c r="B29" s="364" t="s">
        <v>189</v>
      </c>
      <c r="C29" s="497" t="s">
        <v>190</v>
      </c>
    </row>
    <row r="30" spans="1:3" ht="15">
      <c r="A30" s="491"/>
      <c r="B30" s="490"/>
      <c r="C30" s="500"/>
    </row>
    <row r="31" spans="1:3" ht="15.75">
      <c r="A31" s="489" t="s">
        <v>509</v>
      </c>
      <c r="B31" s="490"/>
      <c r="C31" s="500"/>
    </row>
    <row r="32" spans="1:3" ht="15">
      <c r="A32" s="491" t="s">
        <v>194</v>
      </c>
      <c r="B32" s="364" t="s">
        <v>182</v>
      </c>
      <c r="C32" s="494">
        <v>50000</v>
      </c>
    </row>
    <row r="33" spans="1:3" ht="15">
      <c r="A33" s="491" t="s">
        <v>195</v>
      </c>
      <c r="B33" s="364" t="s">
        <v>182</v>
      </c>
      <c r="C33" s="494">
        <v>457910</v>
      </c>
    </row>
    <row r="34" spans="1:3" ht="15">
      <c r="A34" s="491"/>
      <c r="B34" s="490"/>
      <c r="C34" s="494"/>
    </row>
    <row r="35" spans="1:3" ht="15.75">
      <c r="A35" s="489" t="s">
        <v>517</v>
      </c>
      <c r="B35" s="490"/>
      <c r="C35" s="494"/>
    </row>
    <row r="36" spans="1:3" ht="15.75">
      <c r="A36" s="491" t="s">
        <v>196</v>
      </c>
      <c r="B36" s="364" t="s">
        <v>189</v>
      </c>
      <c r="C36" s="494">
        <v>4500</v>
      </c>
    </row>
    <row r="37" spans="1:3" ht="15.75" thickBot="1">
      <c r="A37" s="501"/>
      <c r="B37" s="502"/>
      <c r="C37" s="503"/>
    </row>
    <row r="38" spans="1:3" s="479" customFormat="1" ht="15">
      <c r="A38" s="504"/>
      <c r="B38" s="504"/>
      <c r="C38" s="505"/>
    </row>
    <row r="39" spans="1:3" ht="20.25">
      <c r="A39" s="880" t="s">
        <v>382</v>
      </c>
      <c r="B39" s="880"/>
      <c r="C39" s="880"/>
    </row>
    <row r="40" ht="15.75" thickBot="1"/>
    <row r="41" spans="1:3" ht="18.75" thickBot="1">
      <c r="A41" s="881" t="s">
        <v>173</v>
      </c>
      <c r="B41" s="882"/>
      <c r="C41" s="883"/>
    </row>
    <row r="42" s="479" customFormat="1" ht="15.75" thickBot="1"/>
    <row r="43" spans="1:3" ht="18">
      <c r="A43" s="480" t="s">
        <v>507</v>
      </c>
      <c r="B43" s="481" t="s">
        <v>174</v>
      </c>
      <c r="C43" s="482" t="s">
        <v>175</v>
      </c>
    </row>
    <row r="44" spans="1:3" s="479" customFormat="1" ht="8.25" customHeight="1" thickBot="1">
      <c r="A44" s="504"/>
      <c r="B44" s="504"/>
      <c r="C44" s="505"/>
    </row>
    <row r="45" spans="1:3" ht="18">
      <c r="A45" s="506" t="s">
        <v>197</v>
      </c>
      <c r="B45" s="507"/>
      <c r="C45" s="508"/>
    </row>
    <row r="46" spans="1:3" ht="15">
      <c r="A46" s="491"/>
      <c r="B46" s="490"/>
      <c r="C46" s="500"/>
    </row>
    <row r="47" spans="1:3" ht="15.75">
      <c r="A47" s="489" t="s">
        <v>198</v>
      </c>
      <c r="B47" s="490"/>
      <c r="C47" s="500"/>
    </row>
    <row r="48" spans="1:3" ht="15">
      <c r="A48" s="491" t="s">
        <v>199</v>
      </c>
      <c r="B48" s="364" t="s">
        <v>200</v>
      </c>
      <c r="C48" s="497" t="s">
        <v>190</v>
      </c>
    </row>
    <row r="49" spans="1:3" ht="15">
      <c r="A49" s="491"/>
      <c r="B49" s="490"/>
      <c r="C49" s="500"/>
    </row>
    <row r="50" spans="1:3" ht="15.75">
      <c r="A50" s="489" t="s">
        <v>509</v>
      </c>
      <c r="B50" s="490"/>
      <c r="C50" s="500"/>
    </row>
    <row r="51" spans="1:3" ht="15">
      <c r="A51" s="491" t="s">
        <v>201</v>
      </c>
      <c r="B51" s="364" t="s">
        <v>182</v>
      </c>
      <c r="C51" s="494">
        <v>11703</v>
      </c>
    </row>
    <row r="52" spans="1:4" ht="15.75">
      <c r="A52" s="491" t="s">
        <v>202</v>
      </c>
      <c r="B52" s="490" t="s">
        <v>203</v>
      </c>
      <c r="C52" s="497" t="s">
        <v>1</v>
      </c>
      <c r="D52" s="509"/>
    </row>
    <row r="53" spans="1:3" ht="15">
      <c r="A53" s="491" t="s">
        <v>204</v>
      </c>
      <c r="B53" s="364" t="s">
        <v>182</v>
      </c>
      <c r="C53" s="494">
        <v>128160</v>
      </c>
    </row>
    <row r="54" spans="1:3" ht="15">
      <c r="A54" s="491" t="s">
        <v>205</v>
      </c>
      <c r="B54" s="364" t="s">
        <v>182</v>
      </c>
      <c r="C54" s="494">
        <v>170780</v>
      </c>
    </row>
    <row r="55" spans="1:3" ht="15">
      <c r="A55" s="491"/>
      <c r="B55" s="490"/>
      <c r="C55" s="494"/>
    </row>
    <row r="56" spans="1:3" ht="15.75">
      <c r="A56" s="489" t="s">
        <v>206</v>
      </c>
      <c r="B56" s="490"/>
      <c r="C56" s="500"/>
    </row>
    <row r="57" spans="1:3" ht="15">
      <c r="A57" s="491" t="s">
        <v>207</v>
      </c>
      <c r="B57" s="364" t="s">
        <v>189</v>
      </c>
      <c r="C57" s="497" t="s">
        <v>190</v>
      </c>
    </row>
    <row r="58" spans="1:3" ht="15">
      <c r="A58" s="483"/>
      <c r="B58" s="484"/>
      <c r="C58" s="487"/>
    </row>
    <row r="59" spans="1:3" ht="15.75">
      <c r="A59" s="493" t="s">
        <v>514</v>
      </c>
      <c r="B59" s="484"/>
      <c r="C59" s="487"/>
    </row>
    <row r="60" spans="1:3" ht="15">
      <c r="A60" s="491" t="s">
        <v>208</v>
      </c>
      <c r="B60" s="364" t="s">
        <v>182</v>
      </c>
      <c r="C60" s="494">
        <v>1050</v>
      </c>
    </row>
    <row r="61" spans="1:3" ht="15">
      <c r="A61" s="483"/>
      <c r="B61" s="484"/>
      <c r="C61" s="510"/>
    </row>
    <row r="62" spans="1:3" ht="15.75">
      <c r="A62" s="489" t="s">
        <v>209</v>
      </c>
      <c r="B62" s="490"/>
      <c r="C62" s="494"/>
    </row>
    <row r="63" spans="1:4" ht="15.75">
      <c r="A63" s="536" t="s">
        <v>210</v>
      </c>
      <c r="B63" s="484"/>
      <c r="C63" s="494"/>
      <c r="D63" s="509"/>
    </row>
    <row r="64" spans="1:3" ht="15">
      <c r="A64" s="535" t="s">
        <v>211</v>
      </c>
      <c r="B64" s="490" t="s">
        <v>182</v>
      </c>
      <c r="C64" s="494">
        <v>12000</v>
      </c>
    </row>
    <row r="65" spans="1:3" ht="15">
      <c r="A65" s="483"/>
      <c r="B65" s="484"/>
      <c r="C65" s="487"/>
    </row>
    <row r="66" spans="1:3" ht="15.75">
      <c r="A66" s="493" t="s">
        <v>518</v>
      </c>
      <c r="B66" s="484"/>
      <c r="C66" s="487"/>
    </row>
    <row r="67" spans="1:3" ht="15">
      <c r="A67" s="491" t="s">
        <v>212</v>
      </c>
      <c r="B67" s="364" t="s">
        <v>189</v>
      </c>
      <c r="C67" s="497" t="s">
        <v>190</v>
      </c>
    </row>
    <row r="68" spans="1:3" s="511" customFormat="1" ht="15">
      <c r="A68" s="491"/>
      <c r="B68" s="364"/>
      <c r="C68" s="497"/>
    </row>
    <row r="69" spans="1:3" ht="15.75">
      <c r="A69" s="489" t="s">
        <v>213</v>
      </c>
      <c r="B69" s="490"/>
      <c r="C69" s="500"/>
    </row>
    <row r="70" spans="1:3" ht="15">
      <c r="A70" s="491" t="s">
        <v>214</v>
      </c>
      <c r="B70" s="364" t="s">
        <v>215</v>
      </c>
      <c r="C70" s="497"/>
    </row>
    <row r="71" spans="1:3" ht="15">
      <c r="A71" s="491"/>
      <c r="B71" s="490"/>
      <c r="C71" s="500"/>
    </row>
    <row r="72" spans="1:3" ht="15.75">
      <c r="A72" s="489" t="s">
        <v>519</v>
      </c>
      <c r="B72" s="490"/>
      <c r="C72" s="500"/>
    </row>
    <row r="73" spans="1:3" ht="15.75" thickBot="1">
      <c r="A73" s="501" t="s">
        <v>216</v>
      </c>
      <c r="B73" s="512" t="s">
        <v>182</v>
      </c>
      <c r="C73" s="513">
        <v>960</v>
      </c>
    </row>
    <row r="74" s="479" customFormat="1" ht="15" customHeight="1">
      <c r="C74" s="514"/>
    </row>
    <row r="75" spans="1:3" ht="20.25">
      <c r="A75" s="880" t="s">
        <v>382</v>
      </c>
      <c r="B75" s="880"/>
      <c r="C75" s="880"/>
    </row>
    <row r="76" ht="15.75" thickBot="1"/>
    <row r="77" spans="1:3" ht="18.75" thickBot="1">
      <c r="A77" s="881" t="s">
        <v>173</v>
      </c>
      <c r="B77" s="882"/>
      <c r="C77" s="883"/>
    </row>
    <row r="78" s="479" customFormat="1" ht="15.75" thickBot="1"/>
    <row r="79" spans="1:3" ht="18">
      <c r="A79" s="480" t="s">
        <v>507</v>
      </c>
      <c r="B79" s="481" t="s">
        <v>174</v>
      </c>
      <c r="C79" s="482" t="s">
        <v>175</v>
      </c>
    </row>
    <row r="80" s="479" customFormat="1" ht="15" customHeight="1" thickBot="1">
      <c r="C80" s="514"/>
    </row>
    <row r="81" spans="1:3" ht="18">
      <c r="A81" s="506" t="s">
        <v>520</v>
      </c>
      <c r="B81" s="515"/>
      <c r="C81" s="516"/>
    </row>
    <row r="82" spans="1:3" ht="15.75">
      <c r="A82" s="493"/>
      <c r="B82" s="484"/>
      <c r="C82" s="487"/>
    </row>
    <row r="83" spans="1:3" ht="15.75">
      <c r="A83" s="493" t="s">
        <v>198</v>
      </c>
      <c r="B83" s="484"/>
      <c r="C83" s="487"/>
    </row>
    <row r="84" spans="1:3" ht="15">
      <c r="A84" s="491" t="s">
        <v>217</v>
      </c>
      <c r="B84" s="364" t="s">
        <v>189</v>
      </c>
      <c r="C84" s="497" t="s">
        <v>190</v>
      </c>
    </row>
    <row r="85" spans="1:3" ht="15.75">
      <c r="A85" s="493"/>
      <c r="B85" s="484"/>
      <c r="C85" s="487"/>
    </row>
    <row r="86" spans="1:3" ht="15.75">
      <c r="A86" s="489" t="s">
        <v>514</v>
      </c>
      <c r="B86" s="490"/>
      <c r="C86" s="500"/>
    </row>
    <row r="87" spans="1:3" ht="15">
      <c r="A87" s="491" t="s">
        <v>218</v>
      </c>
      <c r="B87" s="364" t="s">
        <v>182</v>
      </c>
      <c r="C87" s="494">
        <v>1050</v>
      </c>
    </row>
    <row r="88" spans="1:3" ht="15">
      <c r="A88" s="491" t="s">
        <v>219</v>
      </c>
      <c r="B88" s="364" t="s">
        <v>182</v>
      </c>
      <c r="C88" s="494">
        <v>793930</v>
      </c>
    </row>
    <row r="89" spans="1:3" ht="15.75">
      <c r="A89" s="489"/>
      <c r="B89" s="490"/>
      <c r="C89" s="494"/>
    </row>
    <row r="90" spans="1:3" ht="15.75">
      <c r="A90" s="489" t="s">
        <v>513</v>
      </c>
      <c r="B90" s="490"/>
      <c r="C90" s="500"/>
    </row>
    <row r="91" spans="1:3" ht="15">
      <c r="A91" s="491" t="s">
        <v>220</v>
      </c>
      <c r="B91" s="364" t="s">
        <v>221</v>
      </c>
      <c r="C91" s="497" t="s">
        <v>190</v>
      </c>
    </row>
    <row r="92" spans="1:3" ht="15">
      <c r="A92" s="491"/>
      <c r="B92" s="490"/>
      <c r="C92" s="500"/>
    </row>
    <row r="93" spans="1:3" ht="15.75">
      <c r="A93" s="489" t="s">
        <v>521</v>
      </c>
      <c r="B93" s="490"/>
      <c r="C93" s="500"/>
    </row>
    <row r="94" spans="1:3" ht="15">
      <c r="A94" s="491" t="s">
        <v>222</v>
      </c>
      <c r="B94" s="364" t="s">
        <v>182</v>
      </c>
      <c r="C94" s="494">
        <v>120000</v>
      </c>
    </row>
    <row r="95" spans="1:3" ht="15">
      <c r="A95" s="491"/>
      <c r="B95" s="490"/>
      <c r="C95" s="494"/>
    </row>
    <row r="96" spans="1:3" ht="15.75">
      <c r="A96" s="493" t="s">
        <v>522</v>
      </c>
      <c r="B96" s="484"/>
      <c r="C96" s="510"/>
    </row>
    <row r="97" spans="1:4" ht="15.75">
      <c r="A97" s="517" t="s">
        <v>223</v>
      </c>
      <c r="B97" s="518" t="s">
        <v>226</v>
      </c>
      <c r="C97" s="494">
        <v>1200</v>
      </c>
      <c r="D97" s="509"/>
    </row>
    <row r="98" spans="1:3" ht="15">
      <c r="A98" s="483"/>
      <c r="B98" s="484"/>
      <c r="C98" s="510"/>
    </row>
    <row r="99" spans="1:3" ht="18">
      <c r="A99" s="486" t="s">
        <v>524</v>
      </c>
      <c r="B99" s="484"/>
      <c r="C99" s="487"/>
    </row>
    <row r="100" spans="1:3" ht="15.75">
      <c r="A100" s="493"/>
      <c r="B100" s="484"/>
      <c r="C100" s="487"/>
    </row>
    <row r="101" spans="1:3" ht="15.75">
      <c r="A101" s="493" t="s">
        <v>206</v>
      </c>
      <c r="B101" s="484"/>
      <c r="C101" s="487"/>
    </row>
    <row r="102" spans="1:3" ht="15">
      <c r="A102" s="491" t="s">
        <v>227</v>
      </c>
      <c r="B102" s="364" t="s">
        <v>189</v>
      </c>
      <c r="C102" s="497" t="s">
        <v>190</v>
      </c>
    </row>
    <row r="103" spans="1:3" ht="15">
      <c r="A103" s="491"/>
      <c r="B103" s="484"/>
      <c r="C103" s="487"/>
    </row>
    <row r="104" spans="1:3" ht="15.75">
      <c r="A104" s="489" t="s">
        <v>940</v>
      </c>
      <c r="B104" s="490"/>
      <c r="C104" s="500"/>
    </row>
    <row r="105" spans="1:4" ht="15.75">
      <c r="A105" s="491" t="s">
        <v>228</v>
      </c>
      <c r="B105" s="364" t="s">
        <v>229</v>
      </c>
      <c r="C105" s="494">
        <v>92000</v>
      </c>
      <c r="D105" s="509"/>
    </row>
    <row r="106" spans="1:3" ht="15">
      <c r="A106" s="483"/>
      <c r="B106" s="484"/>
      <c r="C106" s="510"/>
    </row>
    <row r="107" spans="1:3" ht="15.75">
      <c r="A107" s="493" t="s">
        <v>509</v>
      </c>
      <c r="B107" s="484"/>
      <c r="C107" s="510"/>
    </row>
    <row r="108" spans="1:3" ht="15">
      <c r="A108" s="491" t="s">
        <v>230</v>
      </c>
      <c r="B108" s="364" t="s">
        <v>231</v>
      </c>
      <c r="C108" s="494"/>
    </row>
    <row r="109" spans="1:3" ht="15">
      <c r="A109" s="491" t="s">
        <v>232</v>
      </c>
      <c r="B109" s="364" t="s">
        <v>182</v>
      </c>
      <c r="C109" s="494">
        <v>109600</v>
      </c>
    </row>
    <row r="110" spans="1:3" ht="15">
      <c r="A110" s="491" t="s">
        <v>233</v>
      </c>
      <c r="B110" s="364" t="s">
        <v>182</v>
      </c>
      <c r="C110" s="494">
        <v>234180</v>
      </c>
    </row>
    <row r="111" spans="1:3" ht="15.75" thickBot="1">
      <c r="A111" s="501" t="s">
        <v>234</v>
      </c>
      <c r="B111" s="512" t="s">
        <v>182</v>
      </c>
      <c r="C111" s="513">
        <v>149840</v>
      </c>
    </row>
    <row r="112" spans="1:3" s="479" customFormat="1" ht="15">
      <c r="A112" s="504"/>
      <c r="B112" s="504"/>
      <c r="C112" s="505"/>
    </row>
    <row r="113" spans="1:3" ht="20.25">
      <c r="A113" s="880" t="s">
        <v>382</v>
      </c>
      <c r="B113" s="880"/>
      <c r="C113" s="880"/>
    </row>
    <row r="114" ht="15.75" thickBot="1"/>
    <row r="115" spans="1:3" ht="18.75" thickBot="1">
      <c r="A115" s="881" t="s">
        <v>173</v>
      </c>
      <c r="B115" s="882"/>
      <c r="C115" s="883"/>
    </row>
    <row r="116" s="479" customFormat="1" ht="15.75" thickBot="1"/>
    <row r="117" spans="1:3" ht="18">
      <c r="A117" s="480" t="s">
        <v>507</v>
      </c>
      <c r="B117" s="481" t="s">
        <v>174</v>
      </c>
      <c r="C117" s="482" t="s">
        <v>175</v>
      </c>
    </row>
    <row r="118" s="479" customFormat="1" ht="15" customHeight="1" thickBot="1">
      <c r="C118" s="514"/>
    </row>
    <row r="119" spans="1:3" ht="18">
      <c r="A119" s="506" t="s">
        <v>525</v>
      </c>
      <c r="B119" s="515"/>
      <c r="C119" s="516"/>
    </row>
    <row r="120" spans="1:3" ht="15">
      <c r="A120" s="483"/>
      <c r="B120" s="484"/>
      <c r="C120" s="510"/>
    </row>
    <row r="121" spans="1:3" ht="15.75">
      <c r="A121" s="493" t="s">
        <v>509</v>
      </c>
      <c r="B121" s="484"/>
      <c r="C121" s="510"/>
    </row>
    <row r="122" spans="1:3" ht="15">
      <c r="A122" s="491" t="s">
        <v>235</v>
      </c>
      <c r="B122" s="364" t="s">
        <v>182</v>
      </c>
      <c r="C122" s="494">
        <v>4000</v>
      </c>
    </row>
    <row r="123" spans="1:3" ht="15">
      <c r="A123" s="491" t="s">
        <v>236</v>
      </c>
      <c r="B123" s="364" t="s">
        <v>237</v>
      </c>
      <c r="C123" s="494">
        <v>28070</v>
      </c>
    </row>
    <row r="124" spans="1:3" ht="15">
      <c r="A124" s="491" t="s">
        <v>238</v>
      </c>
      <c r="B124" s="364" t="s">
        <v>182</v>
      </c>
      <c r="C124" s="494">
        <v>453990</v>
      </c>
    </row>
    <row r="125" spans="1:3" ht="15">
      <c r="A125" s="491" t="s">
        <v>239</v>
      </c>
      <c r="B125" s="364" t="s">
        <v>182</v>
      </c>
      <c r="C125" s="494">
        <v>173580</v>
      </c>
    </row>
    <row r="126" spans="1:3" ht="15">
      <c r="A126" s="491"/>
      <c r="B126" s="490"/>
      <c r="C126" s="494"/>
    </row>
    <row r="127" spans="1:3" ht="15.75">
      <c r="A127" s="489" t="s">
        <v>514</v>
      </c>
      <c r="B127" s="490"/>
      <c r="C127" s="494"/>
    </row>
    <row r="128" spans="1:3" ht="15">
      <c r="A128" s="491" t="s">
        <v>240</v>
      </c>
      <c r="B128" s="490" t="s">
        <v>241</v>
      </c>
      <c r="C128" s="494"/>
    </row>
    <row r="129" spans="1:3" ht="15">
      <c r="A129" s="491" t="s">
        <v>242</v>
      </c>
      <c r="B129" s="364" t="s">
        <v>182</v>
      </c>
      <c r="C129" s="494">
        <v>1050</v>
      </c>
    </row>
    <row r="130" spans="1:3" ht="15">
      <c r="A130" s="491"/>
      <c r="B130" s="490"/>
      <c r="C130" s="494"/>
    </row>
    <row r="131" spans="1:3" ht="18">
      <c r="A131" s="486" t="s">
        <v>528</v>
      </c>
      <c r="B131" s="484"/>
      <c r="C131" s="510"/>
    </row>
    <row r="132" spans="1:3" ht="15">
      <c r="A132" s="483"/>
      <c r="B132" s="484"/>
      <c r="C132" s="510"/>
    </row>
    <row r="133" spans="1:3" ht="15.75">
      <c r="A133" s="493" t="s">
        <v>509</v>
      </c>
      <c r="B133" s="484"/>
      <c r="C133" s="510"/>
    </row>
    <row r="134" spans="1:3" ht="15">
      <c r="A134" s="491" t="s">
        <v>243</v>
      </c>
      <c r="B134" s="364" t="s">
        <v>182</v>
      </c>
      <c r="C134" s="494">
        <v>120210</v>
      </c>
    </row>
    <row r="135" spans="1:5" ht="15">
      <c r="A135" s="491" t="s">
        <v>244</v>
      </c>
      <c r="B135" s="364" t="s">
        <v>182</v>
      </c>
      <c r="C135" s="494">
        <v>62470</v>
      </c>
      <c r="E135" s="611"/>
    </row>
    <row r="136" spans="1:3" ht="15">
      <c r="A136" s="491" t="s">
        <v>245</v>
      </c>
      <c r="B136" s="364" t="s">
        <v>182</v>
      </c>
      <c r="C136" s="494">
        <v>79280</v>
      </c>
    </row>
    <row r="137" spans="1:3" ht="15.75">
      <c r="A137" s="491" t="s">
        <v>246</v>
      </c>
      <c r="B137" s="364" t="s">
        <v>189</v>
      </c>
      <c r="C137" s="494">
        <v>76690</v>
      </c>
    </row>
    <row r="138" spans="1:3" ht="15">
      <c r="A138" s="491" t="s">
        <v>247</v>
      </c>
      <c r="B138" s="364" t="s">
        <v>189</v>
      </c>
      <c r="C138" s="494">
        <v>2000</v>
      </c>
    </row>
    <row r="139" spans="1:3" ht="15">
      <c r="A139" s="491" t="s">
        <v>248</v>
      </c>
      <c r="B139" s="364" t="s">
        <v>182</v>
      </c>
      <c r="C139" s="494">
        <v>77500</v>
      </c>
    </row>
    <row r="140" spans="1:3" ht="15">
      <c r="A140" s="491"/>
      <c r="B140" s="490"/>
      <c r="C140" s="500"/>
    </row>
    <row r="141" spans="1:3" ht="15.75">
      <c r="A141" s="493" t="s">
        <v>514</v>
      </c>
      <c r="B141" s="484"/>
      <c r="C141" s="487"/>
    </row>
    <row r="142" spans="1:3" ht="15">
      <c r="A142" s="517" t="s">
        <v>249</v>
      </c>
      <c r="B142" s="519" t="s">
        <v>250</v>
      </c>
      <c r="C142" s="520">
        <v>2300000</v>
      </c>
    </row>
    <row r="143" spans="1:3" ht="15">
      <c r="A143" s="491" t="s">
        <v>251</v>
      </c>
      <c r="B143" s="490" t="s">
        <v>252</v>
      </c>
      <c r="C143" s="500"/>
    </row>
    <row r="144" spans="1:3" ht="15">
      <c r="A144" s="491" t="s">
        <v>253</v>
      </c>
      <c r="B144" s="364" t="s">
        <v>182</v>
      </c>
      <c r="C144" s="494">
        <v>793930</v>
      </c>
    </row>
    <row r="145" spans="1:4" ht="15.75">
      <c r="A145" s="491" t="s">
        <v>254</v>
      </c>
      <c r="B145" s="364" t="s">
        <v>189</v>
      </c>
      <c r="C145" s="494">
        <v>1400000</v>
      </c>
      <c r="D145" s="509"/>
    </row>
    <row r="146" spans="1:4" ht="15.75">
      <c r="A146" s="491" t="s">
        <v>255</v>
      </c>
      <c r="B146" s="364" t="s">
        <v>256</v>
      </c>
      <c r="C146" s="521" t="s">
        <v>257</v>
      </c>
      <c r="D146" s="509"/>
    </row>
    <row r="147" spans="1:3" ht="15">
      <c r="A147" s="491" t="s">
        <v>258</v>
      </c>
      <c r="B147" s="490" t="s">
        <v>259</v>
      </c>
      <c r="C147" s="500"/>
    </row>
    <row r="148" spans="1:3" ht="15">
      <c r="A148" s="491" t="s">
        <v>260</v>
      </c>
      <c r="B148" s="490" t="s">
        <v>261</v>
      </c>
      <c r="C148" s="500"/>
    </row>
    <row r="149" spans="1:3" ht="15">
      <c r="A149" s="491"/>
      <c r="B149" s="490"/>
      <c r="C149" s="500"/>
    </row>
    <row r="150" spans="1:3" ht="15.75">
      <c r="A150" s="493" t="s">
        <v>517</v>
      </c>
      <c r="B150" s="484"/>
      <c r="C150" s="510"/>
    </row>
    <row r="151" spans="1:3" ht="15">
      <c r="A151" s="612" t="s">
        <v>262</v>
      </c>
      <c r="B151" s="613" t="s">
        <v>263</v>
      </c>
      <c r="C151" s="614">
        <v>2000</v>
      </c>
    </row>
    <row r="152" spans="1:3" ht="15.75" thickBot="1">
      <c r="A152" s="615"/>
      <c r="B152" s="616"/>
      <c r="C152" s="617"/>
    </row>
    <row r="153" spans="1:3" s="479" customFormat="1" ht="15">
      <c r="A153" s="504"/>
      <c r="B153" s="504"/>
      <c r="C153" s="618"/>
    </row>
    <row r="154" spans="1:3" ht="20.25">
      <c r="A154" s="880" t="s">
        <v>382</v>
      </c>
      <c r="B154" s="880"/>
      <c r="C154" s="880"/>
    </row>
    <row r="155" ht="15.75" thickBot="1"/>
    <row r="156" spans="1:3" ht="18.75" thickBot="1">
      <c r="A156" s="881" t="s">
        <v>173</v>
      </c>
      <c r="B156" s="882"/>
      <c r="C156" s="883"/>
    </row>
    <row r="157" s="479" customFormat="1" ht="15.75" thickBot="1"/>
    <row r="158" spans="1:3" ht="18">
      <c r="A158" s="480" t="s">
        <v>507</v>
      </c>
      <c r="B158" s="481" t="s">
        <v>174</v>
      </c>
      <c r="C158" s="482" t="s">
        <v>175</v>
      </c>
    </row>
    <row r="159" s="479" customFormat="1" ht="15" customHeight="1" thickBot="1">
      <c r="C159" s="514"/>
    </row>
    <row r="160" spans="1:3" ht="18">
      <c r="A160" s="506" t="s">
        <v>530</v>
      </c>
      <c r="B160" s="515"/>
      <c r="C160" s="522"/>
    </row>
    <row r="161" spans="1:3" ht="15">
      <c r="A161" s="483"/>
      <c r="B161" s="484"/>
      <c r="C161" s="510"/>
    </row>
    <row r="162" spans="1:3" ht="15.75">
      <c r="A162" s="493" t="s">
        <v>521</v>
      </c>
      <c r="B162" s="484"/>
      <c r="C162" s="510"/>
    </row>
    <row r="163" spans="1:3" ht="15">
      <c r="A163" s="491" t="s">
        <v>264</v>
      </c>
      <c r="B163" s="364" t="s">
        <v>189</v>
      </c>
      <c r="C163" s="494">
        <v>300</v>
      </c>
    </row>
    <row r="164" spans="1:3" ht="15">
      <c r="A164" s="491"/>
      <c r="B164" s="490"/>
      <c r="C164" s="494"/>
    </row>
    <row r="165" spans="1:3" ht="15.75">
      <c r="A165" s="493" t="s">
        <v>509</v>
      </c>
      <c r="B165" s="484"/>
      <c r="C165" s="510"/>
    </row>
    <row r="166" spans="1:3" ht="15">
      <c r="A166" s="491" t="s">
        <v>265</v>
      </c>
      <c r="B166" s="364" t="s">
        <v>182</v>
      </c>
      <c r="C166" s="494">
        <v>123960</v>
      </c>
    </row>
    <row r="167" spans="1:3" ht="15">
      <c r="A167" s="491" t="s">
        <v>266</v>
      </c>
      <c r="B167" s="364" t="s">
        <v>182</v>
      </c>
      <c r="C167" s="494">
        <v>22880</v>
      </c>
    </row>
    <row r="168" spans="1:3" ht="15">
      <c r="A168" s="491" t="s">
        <v>267</v>
      </c>
      <c r="B168" s="490" t="s">
        <v>268</v>
      </c>
      <c r="C168" s="494">
        <v>256000</v>
      </c>
    </row>
    <row r="169" spans="1:3" ht="15">
      <c r="A169" s="491"/>
      <c r="B169" s="490"/>
      <c r="C169" s="494"/>
    </row>
    <row r="170" spans="1:3" ht="15.75">
      <c r="A170" s="489" t="s">
        <v>531</v>
      </c>
      <c r="B170" s="490"/>
      <c r="C170" s="494"/>
    </row>
    <row r="171" spans="1:3" ht="15">
      <c r="A171" s="491" t="s">
        <v>269</v>
      </c>
      <c r="B171" s="364" t="s">
        <v>270</v>
      </c>
      <c r="C171" s="494">
        <v>300</v>
      </c>
    </row>
    <row r="172" spans="1:3" ht="15">
      <c r="A172" s="491" t="s">
        <v>271</v>
      </c>
      <c r="B172" s="364"/>
      <c r="C172" s="494"/>
    </row>
    <row r="173" spans="1:3" ht="15">
      <c r="A173" s="491" t="s">
        <v>272</v>
      </c>
      <c r="B173" s="364" t="s">
        <v>273</v>
      </c>
      <c r="C173" s="500"/>
    </row>
    <row r="174" spans="1:3" ht="15">
      <c r="A174" s="483"/>
      <c r="B174" s="484"/>
      <c r="C174" s="487"/>
    </row>
    <row r="175" spans="1:3" ht="15.75">
      <c r="A175" s="493" t="s">
        <v>533</v>
      </c>
      <c r="B175" s="484"/>
      <c r="C175" s="487"/>
    </row>
    <row r="176" spans="1:3" ht="15">
      <c r="A176" s="491" t="s">
        <v>274</v>
      </c>
      <c r="B176" s="364" t="s">
        <v>189</v>
      </c>
      <c r="C176" s="497" t="s">
        <v>190</v>
      </c>
    </row>
    <row r="177" spans="1:3" ht="15">
      <c r="A177" s="491"/>
      <c r="B177" s="490"/>
      <c r="C177" s="500"/>
    </row>
    <row r="178" spans="1:3" ht="15.75">
      <c r="A178" s="489" t="s">
        <v>905</v>
      </c>
      <c r="B178" s="490"/>
      <c r="C178" s="500"/>
    </row>
    <row r="179" spans="1:3" ht="15">
      <c r="A179" s="491" t="s">
        <v>275</v>
      </c>
      <c r="B179" s="364" t="s">
        <v>276</v>
      </c>
      <c r="C179" s="497"/>
    </row>
    <row r="180" spans="1:3" ht="15.75" thickBot="1">
      <c r="A180" s="501" t="s">
        <v>277</v>
      </c>
      <c r="B180" s="512"/>
      <c r="C180" s="523"/>
    </row>
    <row r="181" spans="1:3" ht="15">
      <c r="A181" s="524"/>
      <c r="B181" s="525"/>
      <c r="C181" s="526">
        <f>SUM(C6:C179)</f>
        <v>8390413</v>
      </c>
    </row>
    <row r="182" spans="1:3" ht="15.75">
      <c r="A182" s="527" t="s">
        <v>278</v>
      </c>
      <c r="B182" s="525"/>
      <c r="C182" s="530"/>
    </row>
    <row r="183" spans="1:3" ht="15.75">
      <c r="A183" s="528" t="s">
        <v>279</v>
      </c>
      <c r="B183" s="529"/>
      <c r="C183" s="530"/>
    </row>
    <row r="184" spans="1:3" ht="15.75">
      <c r="A184" s="531" t="s">
        <v>280</v>
      </c>
      <c r="B184" s="529"/>
      <c r="C184" s="530"/>
    </row>
    <row r="185" spans="1:3" ht="15.75" thickBot="1">
      <c r="A185" s="615" t="s">
        <v>281</v>
      </c>
      <c r="B185" s="616"/>
      <c r="C185" s="617"/>
    </row>
    <row r="186" spans="1:3" ht="15">
      <c r="A186" s="504"/>
      <c r="B186" s="504"/>
      <c r="C186" s="618"/>
    </row>
    <row r="188" spans="1:2" ht="18">
      <c r="A188" s="877" t="s">
        <v>382</v>
      </c>
      <c r="B188" s="877"/>
    </row>
    <row r="189" ht="15.75" thickBot="1"/>
    <row r="190" spans="1:2" ht="16.5" thickBot="1">
      <c r="A190" s="878" t="s">
        <v>173</v>
      </c>
      <c r="B190" s="879"/>
    </row>
    <row r="191" spans="1:16" s="539" customFormat="1" ht="12" thickBot="1">
      <c r="A191" s="538"/>
      <c r="B191" s="538"/>
      <c r="C191" s="538"/>
      <c r="D191" s="538"/>
      <c r="E191" s="538"/>
      <c r="F191" s="538"/>
      <c r="G191" s="538"/>
      <c r="H191" s="538"/>
      <c r="I191" s="538"/>
      <c r="J191" s="538"/>
      <c r="K191" s="538"/>
      <c r="L191" s="538"/>
      <c r="M191" s="538"/>
      <c r="N191" s="538"/>
      <c r="O191" s="538"/>
      <c r="P191" s="538"/>
    </row>
    <row r="192" spans="1:16" s="544" customFormat="1" ht="15.75">
      <c r="A192" s="553" t="s">
        <v>507</v>
      </c>
      <c r="B192" s="554" t="s">
        <v>174</v>
      </c>
      <c r="C192" s="479"/>
      <c r="D192" s="478"/>
      <c r="E192" s="478"/>
      <c r="F192" s="478"/>
      <c r="G192" s="478"/>
      <c r="H192" s="478"/>
      <c r="I192" s="478"/>
      <c r="J192" s="478"/>
      <c r="K192" s="478"/>
      <c r="L192" s="478"/>
      <c r="M192" s="478"/>
      <c r="N192" s="478"/>
      <c r="O192" s="478"/>
      <c r="P192" s="478"/>
    </row>
    <row r="193" spans="1:16" s="67" customFormat="1" ht="11.25">
      <c r="A193" s="540"/>
      <c r="B193" s="541"/>
      <c r="C193" s="538"/>
      <c r="D193" s="537"/>
      <c r="E193" s="537"/>
      <c r="F193" s="537"/>
      <c r="G193" s="537"/>
      <c r="H193" s="537"/>
      <c r="I193" s="537"/>
      <c r="J193" s="537"/>
      <c r="K193" s="537"/>
      <c r="L193" s="537"/>
      <c r="M193" s="537"/>
      <c r="N193" s="537"/>
      <c r="O193" s="537"/>
      <c r="P193" s="537"/>
    </row>
    <row r="194" spans="1:16" s="544" customFormat="1" ht="15.75">
      <c r="A194" s="542" t="s">
        <v>508</v>
      </c>
      <c r="B194" s="543"/>
      <c r="C194" s="479"/>
      <c r="D194" s="478"/>
      <c r="E194" s="478"/>
      <c r="F194" s="478"/>
      <c r="G194" s="478"/>
      <c r="H194" s="478"/>
      <c r="I194" s="478"/>
      <c r="J194" s="478"/>
      <c r="K194" s="478"/>
      <c r="L194" s="478"/>
      <c r="M194" s="478"/>
      <c r="N194" s="478"/>
      <c r="O194" s="478"/>
      <c r="P194" s="478"/>
    </row>
    <row r="195" spans="1:16" s="547" customFormat="1" ht="15.75">
      <c r="A195" s="545"/>
      <c r="B195" s="546"/>
      <c r="C195" s="504"/>
      <c r="D195" s="511"/>
      <c r="E195" s="511"/>
      <c r="F195" s="511"/>
      <c r="G195" s="511"/>
      <c r="H195" s="511"/>
      <c r="I195" s="511"/>
      <c r="J195" s="511"/>
      <c r="K195" s="511"/>
      <c r="L195" s="511"/>
      <c r="M195" s="511"/>
      <c r="N195" s="511"/>
      <c r="O195" s="511"/>
      <c r="P195" s="511"/>
    </row>
    <row r="196" spans="1:4" ht="15.75">
      <c r="A196" s="498" t="s">
        <v>282</v>
      </c>
      <c r="B196" s="548"/>
      <c r="C196" s="549"/>
      <c r="D196" s="544"/>
    </row>
    <row r="197" spans="1:4" s="511" customFormat="1" ht="15.75">
      <c r="A197" s="492" t="s">
        <v>283</v>
      </c>
      <c r="B197" s="548" t="s">
        <v>284</v>
      </c>
      <c r="C197" s="549"/>
      <c r="D197" s="550"/>
    </row>
    <row r="198" spans="1:4" s="511" customFormat="1" ht="15.75">
      <c r="A198" s="492"/>
      <c r="B198" s="548"/>
      <c r="C198" s="549"/>
      <c r="D198" s="550"/>
    </row>
    <row r="199" spans="1:16" s="544" customFormat="1" ht="15.75">
      <c r="A199" s="542" t="s">
        <v>515</v>
      </c>
      <c r="B199" s="546"/>
      <c r="C199" s="478"/>
      <c r="D199" s="478"/>
      <c r="E199" s="478"/>
      <c r="F199" s="478"/>
      <c r="G199" s="478"/>
      <c r="H199" s="478"/>
      <c r="I199" s="478"/>
      <c r="J199" s="478"/>
      <c r="K199" s="478"/>
      <c r="L199" s="478"/>
      <c r="M199" s="478"/>
      <c r="N199" s="478"/>
      <c r="O199" s="478"/>
      <c r="P199" s="478"/>
    </row>
    <row r="200" spans="1:16" s="544" customFormat="1" ht="15">
      <c r="A200" s="491"/>
      <c r="B200" s="546"/>
      <c r="C200" s="478"/>
      <c r="D200" s="478"/>
      <c r="E200" s="478"/>
      <c r="F200" s="478"/>
      <c r="G200" s="478"/>
      <c r="H200" s="478"/>
      <c r="I200" s="478"/>
      <c r="J200" s="478"/>
      <c r="K200" s="478"/>
      <c r="L200" s="478"/>
      <c r="M200" s="478"/>
      <c r="N200" s="478"/>
      <c r="O200" s="478"/>
      <c r="P200" s="478"/>
    </row>
    <row r="201" spans="1:16" s="544" customFormat="1" ht="15.75">
      <c r="A201" s="489" t="s">
        <v>209</v>
      </c>
      <c r="B201" s="546"/>
      <c r="C201" s="478"/>
      <c r="D201" s="478"/>
      <c r="E201" s="478"/>
      <c r="F201" s="478"/>
      <c r="G201" s="478"/>
      <c r="H201" s="478"/>
      <c r="I201" s="478"/>
      <c r="J201" s="478"/>
      <c r="K201" s="478"/>
      <c r="L201" s="478"/>
      <c r="M201" s="478"/>
      <c r="N201" s="478"/>
      <c r="O201" s="478"/>
      <c r="P201" s="478"/>
    </row>
    <row r="202" spans="1:16" s="544" customFormat="1" ht="15">
      <c r="A202" s="491" t="s">
        <v>285</v>
      </c>
      <c r="B202" s="548" t="s">
        <v>286</v>
      </c>
      <c r="C202" s="478"/>
      <c r="D202" s="478"/>
      <c r="E202" s="478"/>
      <c r="F202" s="478"/>
      <c r="G202" s="478"/>
      <c r="H202" s="478"/>
      <c r="I202" s="478"/>
      <c r="J202" s="478"/>
      <c r="K202" s="478"/>
      <c r="L202" s="478"/>
      <c r="M202" s="478"/>
      <c r="N202" s="478"/>
      <c r="O202" s="478"/>
      <c r="P202" s="478"/>
    </row>
    <row r="203" spans="1:16" s="544" customFormat="1" ht="15">
      <c r="A203" s="491"/>
      <c r="B203" s="548"/>
      <c r="C203" s="504"/>
      <c r="D203" s="478"/>
      <c r="E203" s="478"/>
      <c r="F203" s="478"/>
      <c r="G203" s="478"/>
      <c r="H203" s="478"/>
      <c r="I203" s="478"/>
      <c r="J203" s="478"/>
      <c r="K203" s="478"/>
      <c r="L203" s="478"/>
      <c r="M203" s="478"/>
      <c r="N203" s="478"/>
      <c r="O203" s="478"/>
      <c r="P203" s="478"/>
    </row>
    <row r="204" spans="1:3" ht="15.75">
      <c r="A204" s="489" t="s">
        <v>518</v>
      </c>
      <c r="B204" s="546"/>
      <c r="C204" s="505"/>
    </row>
    <row r="205" spans="1:3" s="511" customFormat="1" ht="15">
      <c r="A205" s="491" t="s">
        <v>287</v>
      </c>
      <c r="B205" s="548" t="s">
        <v>284</v>
      </c>
      <c r="C205" s="549"/>
    </row>
    <row r="206" spans="1:3" ht="15">
      <c r="A206" s="491"/>
      <c r="B206" s="546"/>
      <c r="C206" s="505"/>
    </row>
    <row r="207" spans="1:3" ht="15.75">
      <c r="A207" s="489" t="s">
        <v>517</v>
      </c>
      <c r="B207" s="546"/>
      <c r="C207" s="505"/>
    </row>
    <row r="208" spans="1:3" s="511" customFormat="1" ht="18">
      <c r="A208" s="491" t="s">
        <v>346</v>
      </c>
      <c r="B208" s="548" t="s">
        <v>284</v>
      </c>
      <c r="C208" s="549"/>
    </row>
    <row r="209" spans="1:3" s="511" customFormat="1" ht="15">
      <c r="A209" s="491"/>
      <c r="B209" s="548"/>
      <c r="C209" s="549"/>
    </row>
    <row r="210" spans="1:16" s="544" customFormat="1" ht="15.75">
      <c r="A210" s="542" t="s">
        <v>197</v>
      </c>
      <c r="B210" s="546"/>
      <c r="C210" s="511"/>
      <c r="D210" s="478"/>
      <c r="E210" s="478"/>
      <c r="F210" s="478"/>
      <c r="G210" s="478"/>
      <c r="H210" s="478"/>
      <c r="I210" s="478"/>
      <c r="J210" s="478"/>
      <c r="K210" s="478"/>
      <c r="L210" s="478"/>
      <c r="M210" s="478"/>
      <c r="N210" s="478"/>
      <c r="O210" s="478"/>
      <c r="P210" s="478"/>
    </row>
    <row r="211" spans="1:16" s="544" customFormat="1" ht="15">
      <c r="A211" s="491"/>
      <c r="B211" s="546"/>
      <c r="C211" s="511"/>
      <c r="D211" s="478"/>
      <c r="E211" s="478"/>
      <c r="F211" s="478"/>
      <c r="G211" s="478"/>
      <c r="H211" s="478"/>
      <c r="I211" s="478"/>
      <c r="J211" s="478"/>
      <c r="K211" s="478"/>
      <c r="L211" s="478"/>
      <c r="M211" s="478"/>
      <c r="N211" s="478"/>
      <c r="O211" s="478"/>
      <c r="P211" s="478"/>
    </row>
    <row r="212" spans="1:16" s="544" customFormat="1" ht="15.75">
      <c r="A212" s="493" t="s">
        <v>513</v>
      </c>
      <c r="B212" s="543"/>
      <c r="C212" s="478"/>
      <c r="D212" s="478"/>
      <c r="E212" s="478"/>
      <c r="F212" s="478"/>
      <c r="G212" s="478"/>
      <c r="H212" s="478"/>
      <c r="I212" s="478"/>
      <c r="J212" s="478"/>
      <c r="K212" s="478"/>
      <c r="L212" s="478"/>
      <c r="M212" s="478"/>
      <c r="N212" s="478"/>
      <c r="O212" s="478"/>
      <c r="P212" s="478"/>
    </row>
    <row r="213" spans="1:16" s="544" customFormat="1" ht="15">
      <c r="A213" s="551" t="s">
        <v>288</v>
      </c>
      <c r="B213" s="552" t="s">
        <v>289</v>
      </c>
      <c r="C213" s="478"/>
      <c r="D213" s="478"/>
      <c r="E213" s="478"/>
      <c r="F213" s="478"/>
      <c r="G213" s="478"/>
      <c r="H213" s="478"/>
      <c r="I213" s="478"/>
      <c r="J213" s="478"/>
      <c r="K213" s="478"/>
      <c r="L213" s="478"/>
      <c r="M213" s="478"/>
      <c r="N213" s="478"/>
      <c r="O213" s="478"/>
      <c r="P213" s="478"/>
    </row>
    <row r="214" spans="1:16" s="544" customFormat="1" ht="15">
      <c r="A214" s="483"/>
      <c r="B214" s="543"/>
      <c r="C214" s="478"/>
      <c r="D214" s="478"/>
      <c r="E214" s="478"/>
      <c r="F214" s="478"/>
      <c r="G214" s="478"/>
      <c r="H214" s="478"/>
      <c r="I214" s="478"/>
      <c r="J214" s="478"/>
      <c r="K214" s="478"/>
      <c r="L214" s="478"/>
      <c r="M214" s="478"/>
      <c r="N214" s="478"/>
      <c r="O214" s="478"/>
      <c r="P214" s="478"/>
    </row>
    <row r="215" spans="1:16" s="544" customFormat="1" ht="15.75">
      <c r="A215" s="493" t="s">
        <v>514</v>
      </c>
      <c r="B215" s="543"/>
      <c r="C215" s="478"/>
      <c r="D215" s="478"/>
      <c r="E215" s="478"/>
      <c r="F215" s="478"/>
      <c r="G215" s="478"/>
      <c r="H215" s="478"/>
      <c r="I215" s="478"/>
      <c r="J215" s="478"/>
      <c r="K215" s="478"/>
      <c r="L215" s="478"/>
      <c r="M215" s="478"/>
      <c r="N215" s="478"/>
      <c r="O215" s="478"/>
      <c r="P215" s="478"/>
    </row>
    <row r="216" spans="1:16" s="544" customFormat="1" ht="15">
      <c r="A216" s="551" t="s">
        <v>290</v>
      </c>
      <c r="B216" s="552" t="s">
        <v>516</v>
      </c>
      <c r="C216" s="478"/>
      <c r="D216" s="478"/>
      <c r="E216" s="478"/>
      <c r="F216" s="478"/>
      <c r="G216" s="478"/>
      <c r="H216" s="478"/>
      <c r="I216" s="478"/>
      <c r="J216" s="478"/>
      <c r="K216" s="478"/>
      <c r="L216" s="478"/>
      <c r="M216" s="478"/>
      <c r="N216" s="478"/>
      <c r="O216" s="478"/>
      <c r="P216" s="478"/>
    </row>
    <row r="217" spans="1:16" s="544" customFormat="1" ht="15">
      <c r="A217" s="551" t="s">
        <v>291</v>
      </c>
      <c r="B217" s="552" t="s">
        <v>516</v>
      </c>
      <c r="C217" s="478"/>
      <c r="D217" s="478"/>
      <c r="E217" s="478"/>
      <c r="F217" s="478"/>
      <c r="G217" s="478"/>
      <c r="H217" s="478"/>
      <c r="I217" s="478"/>
      <c r="J217" s="478"/>
      <c r="K217" s="478"/>
      <c r="L217" s="478"/>
      <c r="M217" s="478"/>
      <c r="N217" s="478"/>
      <c r="O217" s="478"/>
      <c r="P217" s="478"/>
    </row>
    <row r="218" spans="1:16" s="544" customFormat="1" ht="15">
      <c r="A218" s="483"/>
      <c r="B218" s="543"/>
      <c r="C218" s="478"/>
      <c r="D218" s="478"/>
      <c r="E218" s="478"/>
      <c r="F218" s="478"/>
      <c r="G218" s="478"/>
      <c r="H218" s="478"/>
      <c r="I218" s="478"/>
      <c r="J218" s="478"/>
      <c r="K218" s="478"/>
      <c r="L218" s="478"/>
      <c r="M218" s="478"/>
      <c r="N218" s="478"/>
      <c r="O218" s="478"/>
      <c r="P218" s="478"/>
    </row>
    <row r="219" spans="1:16" s="544" customFormat="1" ht="15.75">
      <c r="A219" s="542" t="s">
        <v>520</v>
      </c>
      <c r="B219" s="543"/>
      <c r="C219" s="478"/>
      <c r="D219" s="478"/>
      <c r="E219" s="478"/>
      <c r="F219" s="478"/>
      <c r="G219" s="478"/>
      <c r="H219" s="478"/>
      <c r="I219" s="478"/>
      <c r="J219" s="478"/>
      <c r="K219" s="478"/>
      <c r="L219" s="478"/>
      <c r="M219" s="478"/>
      <c r="N219" s="478"/>
      <c r="O219" s="478"/>
      <c r="P219" s="478"/>
    </row>
    <row r="220" spans="1:16" s="544" customFormat="1" ht="15.75">
      <c r="A220" s="493"/>
      <c r="B220" s="543"/>
      <c r="C220" s="478"/>
      <c r="D220" s="478"/>
      <c r="E220" s="478"/>
      <c r="F220" s="478"/>
      <c r="G220" s="478"/>
      <c r="H220" s="478"/>
      <c r="I220" s="478"/>
      <c r="J220" s="478"/>
      <c r="K220" s="478"/>
      <c r="L220" s="478"/>
      <c r="M220" s="478"/>
      <c r="N220" s="478"/>
      <c r="O220" s="478"/>
      <c r="P220" s="478"/>
    </row>
    <row r="221" spans="1:16" s="544" customFormat="1" ht="15.75">
      <c r="A221" s="493" t="s">
        <v>509</v>
      </c>
      <c r="B221" s="543"/>
      <c r="C221" s="478"/>
      <c r="D221" s="478"/>
      <c r="E221" s="478"/>
      <c r="F221" s="478"/>
      <c r="G221" s="478"/>
      <c r="H221" s="478"/>
      <c r="I221" s="478"/>
      <c r="J221" s="478"/>
      <c r="K221" s="478"/>
      <c r="L221" s="478"/>
      <c r="M221" s="478"/>
      <c r="N221" s="478"/>
      <c r="O221" s="478"/>
      <c r="P221" s="478"/>
    </row>
    <row r="222" spans="1:16" s="544" customFormat="1" ht="15">
      <c r="A222" s="551" t="s">
        <v>292</v>
      </c>
      <c r="B222" s="552" t="s">
        <v>529</v>
      </c>
      <c r="C222" s="478"/>
      <c r="D222" s="478"/>
      <c r="E222" s="478"/>
      <c r="F222" s="478"/>
      <c r="G222" s="478"/>
      <c r="H222" s="478"/>
      <c r="I222" s="478"/>
      <c r="J222" s="478"/>
      <c r="K222" s="478"/>
      <c r="L222" s="478"/>
      <c r="M222" s="478"/>
      <c r="N222" s="478"/>
      <c r="O222" s="478"/>
      <c r="P222" s="478"/>
    </row>
    <row r="223" spans="1:16" s="544" customFormat="1" ht="15">
      <c r="A223" s="517" t="s">
        <v>293</v>
      </c>
      <c r="B223" s="555" t="s">
        <v>294</v>
      </c>
      <c r="C223" s="478"/>
      <c r="D223" s="478"/>
      <c r="E223" s="478"/>
      <c r="F223" s="478"/>
      <c r="G223" s="478"/>
      <c r="H223" s="478"/>
      <c r="I223" s="478"/>
      <c r="J223" s="478"/>
      <c r="K223" s="478"/>
      <c r="L223" s="478"/>
      <c r="M223" s="478"/>
      <c r="N223" s="478"/>
      <c r="O223" s="478"/>
      <c r="P223" s="478"/>
    </row>
    <row r="224" spans="1:16" s="544" customFormat="1" ht="15">
      <c r="A224" s="491"/>
      <c r="B224" s="546"/>
      <c r="C224" s="478"/>
      <c r="D224" s="478"/>
      <c r="E224" s="478"/>
      <c r="F224" s="478"/>
      <c r="G224" s="478"/>
      <c r="H224" s="478"/>
      <c r="I224" s="478"/>
      <c r="J224" s="478"/>
      <c r="K224" s="478"/>
      <c r="L224" s="478"/>
      <c r="M224" s="478"/>
      <c r="N224" s="478"/>
      <c r="O224" s="478"/>
      <c r="P224" s="478"/>
    </row>
    <row r="225" spans="1:16" s="544" customFormat="1" ht="15.75">
      <c r="A225" s="489" t="s">
        <v>514</v>
      </c>
      <c r="B225" s="546"/>
      <c r="C225" s="478"/>
      <c r="D225" s="478"/>
      <c r="E225" s="478"/>
      <c r="F225" s="478"/>
      <c r="G225" s="478"/>
      <c r="H225" s="478"/>
      <c r="I225" s="478"/>
      <c r="J225" s="478"/>
      <c r="K225" s="478"/>
      <c r="L225" s="478"/>
      <c r="M225" s="478"/>
      <c r="N225" s="478"/>
      <c r="O225" s="478"/>
      <c r="P225" s="478"/>
    </row>
    <row r="226" spans="1:16" s="544" customFormat="1" ht="15">
      <c r="A226" s="517" t="s">
        <v>295</v>
      </c>
      <c r="B226" s="555" t="s">
        <v>296</v>
      </c>
      <c r="C226" s="478"/>
      <c r="D226" s="478"/>
      <c r="E226" s="478"/>
      <c r="F226" s="478"/>
      <c r="G226" s="478"/>
      <c r="H226" s="478"/>
      <c r="I226" s="478"/>
      <c r="J226" s="478"/>
      <c r="K226" s="478"/>
      <c r="L226" s="478"/>
      <c r="M226" s="478"/>
      <c r="N226" s="478"/>
      <c r="O226" s="478"/>
      <c r="P226" s="478"/>
    </row>
    <row r="227" spans="1:16" s="544" customFormat="1" ht="15">
      <c r="A227" s="551" t="s">
        <v>297</v>
      </c>
      <c r="B227" s="552" t="s">
        <v>298</v>
      </c>
      <c r="C227" s="478"/>
      <c r="D227" s="478"/>
      <c r="E227" s="478"/>
      <c r="F227" s="478"/>
      <c r="G227" s="478"/>
      <c r="H227" s="478"/>
      <c r="I227" s="478"/>
      <c r="J227" s="478"/>
      <c r="K227" s="478"/>
      <c r="L227" s="478"/>
      <c r="M227" s="478"/>
      <c r="N227" s="478"/>
      <c r="O227" s="478"/>
      <c r="P227" s="478"/>
    </row>
    <row r="228" spans="1:16" s="544" customFormat="1" ht="15.75" thickBot="1">
      <c r="A228" s="558" t="s">
        <v>299</v>
      </c>
      <c r="B228" s="559" t="s">
        <v>300</v>
      </c>
      <c r="C228" s="478"/>
      <c r="D228" s="478"/>
      <c r="E228" s="478"/>
      <c r="F228" s="478"/>
      <c r="G228" s="478"/>
      <c r="H228" s="478"/>
      <c r="I228" s="478"/>
      <c r="J228" s="478"/>
      <c r="K228" s="478"/>
      <c r="L228" s="478"/>
      <c r="M228" s="478"/>
      <c r="N228" s="478"/>
      <c r="O228" s="478"/>
      <c r="P228" s="478"/>
    </row>
    <row r="229" spans="1:16" s="561" customFormat="1" ht="15.75">
      <c r="A229" s="560"/>
      <c r="B229" s="504"/>
      <c r="C229" s="479"/>
      <c r="D229" s="479"/>
      <c r="E229" s="479"/>
      <c r="F229" s="479"/>
      <c r="G229" s="479"/>
      <c r="H229" s="479"/>
      <c r="I229" s="479"/>
      <c r="J229" s="479"/>
      <c r="K229" s="479"/>
      <c r="L229" s="479"/>
      <c r="M229" s="479"/>
      <c r="N229" s="479"/>
      <c r="O229" s="479"/>
      <c r="P229" s="479"/>
    </row>
    <row r="230" spans="1:3" s="479" customFormat="1" ht="18">
      <c r="A230" s="877" t="s">
        <v>382</v>
      </c>
      <c r="B230" s="877"/>
      <c r="C230" s="478"/>
    </row>
    <row r="231" ht="15.75" thickBot="1"/>
    <row r="232" spans="1:2" ht="16.5" thickBot="1">
      <c r="A232" s="878" t="s">
        <v>173</v>
      </c>
      <c r="B232" s="879"/>
    </row>
    <row r="233" spans="1:16" s="539" customFormat="1" ht="12" thickBot="1">
      <c r="A233" s="538"/>
      <c r="B233" s="538"/>
      <c r="C233" s="538"/>
      <c r="D233" s="538"/>
      <c r="E233" s="538"/>
      <c r="F233" s="538"/>
      <c r="G233" s="538"/>
      <c r="H233" s="538"/>
      <c r="I233" s="538"/>
      <c r="J233" s="538"/>
      <c r="K233" s="538"/>
      <c r="L233" s="538"/>
      <c r="M233" s="538"/>
      <c r="N233" s="538"/>
      <c r="O233" s="538"/>
      <c r="P233" s="538"/>
    </row>
    <row r="234" spans="1:16" s="544" customFormat="1" ht="15.75">
      <c r="A234" s="553" t="s">
        <v>507</v>
      </c>
      <c r="B234" s="554" t="s">
        <v>174</v>
      </c>
      <c r="C234" s="479"/>
      <c r="D234" s="478"/>
      <c r="E234" s="478"/>
      <c r="F234" s="478"/>
      <c r="G234" s="478"/>
      <c r="H234" s="478"/>
      <c r="I234" s="478"/>
      <c r="J234" s="478"/>
      <c r="K234" s="478"/>
      <c r="L234" s="478"/>
      <c r="M234" s="478"/>
      <c r="N234" s="478"/>
      <c r="O234" s="478"/>
      <c r="P234" s="478"/>
    </row>
    <row r="235" spans="1:16" s="544" customFormat="1" ht="15.75">
      <c r="A235" s="489"/>
      <c r="B235" s="546"/>
      <c r="C235" s="478"/>
      <c r="D235" s="478"/>
      <c r="E235" s="478"/>
      <c r="F235" s="478"/>
      <c r="G235" s="478"/>
      <c r="H235" s="478"/>
      <c r="I235" s="478"/>
      <c r="J235" s="478"/>
      <c r="K235" s="478"/>
      <c r="L235" s="478"/>
      <c r="M235" s="478"/>
      <c r="N235" s="478"/>
      <c r="O235" s="478"/>
      <c r="P235" s="478"/>
    </row>
    <row r="236" spans="1:16" s="544" customFormat="1" ht="15.75">
      <c r="A236" s="493" t="s">
        <v>301</v>
      </c>
      <c r="B236" s="543"/>
      <c r="C236" s="478"/>
      <c r="D236" s="478"/>
      <c r="E236" s="478"/>
      <c r="F236" s="478"/>
      <c r="G236" s="478"/>
      <c r="H236" s="478"/>
      <c r="I236" s="478"/>
      <c r="J236" s="478"/>
      <c r="K236" s="478"/>
      <c r="L236" s="478"/>
      <c r="M236" s="478"/>
      <c r="N236" s="478"/>
      <c r="O236" s="478"/>
      <c r="P236" s="478"/>
    </row>
    <row r="237" spans="1:16" s="544" customFormat="1" ht="15">
      <c r="A237" s="551" t="s">
        <v>523</v>
      </c>
      <c r="B237" s="552" t="s">
        <v>302</v>
      </c>
      <c r="C237" s="478"/>
      <c r="D237" s="478"/>
      <c r="E237" s="478"/>
      <c r="F237" s="478"/>
      <c r="G237" s="478"/>
      <c r="H237" s="478"/>
      <c r="I237" s="478"/>
      <c r="J237" s="478"/>
      <c r="K237" s="478"/>
      <c r="L237" s="478"/>
      <c r="M237" s="478"/>
      <c r="N237" s="478"/>
      <c r="O237" s="478"/>
      <c r="P237" s="478"/>
    </row>
    <row r="238" spans="1:16" s="544" customFormat="1" ht="15">
      <c r="A238" s="483"/>
      <c r="B238" s="543"/>
      <c r="C238" s="478"/>
      <c r="D238" s="478"/>
      <c r="E238" s="478"/>
      <c r="F238" s="478"/>
      <c r="G238" s="478"/>
      <c r="H238" s="478"/>
      <c r="I238" s="478"/>
      <c r="J238" s="478"/>
      <c r="K238" s="478"/>
      <c r="L238" s="478"/>
      <c r="M238" s="478"/>
      <c r="N238" s="478"/>
      <c r="O238" s="478"/>
      <c r="P238" s="478"/>
    </row>
    <row r="239" spans="1:16" s="544" customFormat="1" ht="15.75">
      <c r="A239" s="542" t="s">
        <v>524</v>
      </c>
      <c r="B239" s="543"/>
      <c r="C239" s="478"/>
      <c r="D239" s="478"/>
      <c r="E239" s="478"/>
      <c r="F239" s="478"/>
      <c r="G239" s="478"/>
      <c r="H239" s="478"/>
      <c r="I239" s="478"/>
      <c r="J239" s="478"/>
      <c r="K239" s="478"/>
      <c r="L239" s="478"/>
      <c r="M239" s="478"/>
      <c r="N239" s="478"/>
      <c r="O239" s="478"/>
      <c r="P239" s="478"/>
    </row>
    <row r="240" spans="1:16" s="547" customFormat="1" ht="15.75">
      <c r="A240" s="545"/>
      <c r="B240" s="546"/>
      <c r="C240" s="511"/>
      <c r="D240" s="511"/>
      <c r="E240" s="511"/>
      <c r="F240" s="511"/>
      <c r="G240" s="511"/>
      <c r="H240" s="511"/>
      <c r="I240" s="511"/>
      <c r="J240" s="511"/>
      <c r="K240" s="511"/>
      <c r="L240" s="511"/>
      <c r="M240" s="511"/>
      <c r="N240" s="511"/>
      <c r="O240" s="511"/>
      <c r="P240" s="511"/>
    </row>
    <row r="241" spans="1:16" s="544" customFormat="1" ht="15.75">
      <c r="A241" s="489" t="s">
        <v>963</v>
      </c>
      <c r="B241" s="546"/>
      <c r="C241" s="478"/>
      <c r="D241" s="478"/>
      <c r="E241" s="478"/>
      <c r="F241" s="478"/>
      <c r="G241" s="478"/>
      <c r="H241" s="478"/>
      <c r="I241" s="478"/>
      <c r="J241" s="478"/>
      <c r="K241" s="478"/>
      <c r="L241" s="478"/>
      <c r="M241" s="478"/>
      <c r="N241" s="478"/>
      <c r="O241" s="478"/>
      <c r="P241" s="478"/>
    </row>
    <row r="242" spans="1:16" s="544" customFormat="1" ht="15">
      <c r="A242" s="491" t="s">
        <v>303</v>
      </c>
      <c r="B242" s="546" t="s">
        <v>304</v>
      </c>
      <c r="C242" s="478"/>
      <c r="D242" s="478"/>
      <c r="E242" s="478"/>
      <c r="F242" s="478"/>
      <c r="G242" s="478"/>
      <c r="H242" s="478"/>
      <c r="I242" s="478"/>
      <c r="J242" s="478"/>
      <c r="K242" s="478"/>
      <c r="L242" s="478"/>
      <c r="M242" s="478"/>
      <c r="N242" s="478"/>
      <c r="O242" s="478"/>
      <c r="P242" s="478"/>
    </row>
    <row r="243" spans="1:16" s="544" customFormat="1" ht="15">
      <c r="A243" s="491" t="s">
        <v>305</v>
      </c>
      <c r="B243" s="548" t="s">
        <v>306</v>
      </c>
      <c r="C243" s="478"/>
      <c r="D243" s="478"/>
      <c r="E243" s="478"/>
      <c r="F243" s="478"/>
      <c r="G243" s="478"/>
      <c r="H243" s="478"/>
      <c r="I243" s="478"/>
      <c r="J243" s="478"/>
      <c r="K243" s="478"/>
      <c r="L243" s="478"/>
      <c r="M243" s="478"/>
      <c r="N243" s="478"/>
      <c r="O243" s="478"/>
      <c r="P243" s="478"/>
    </row>
    <row r="244" spans="1:16" s="544" customFormat="1" ht="15">
      <c r="A244" s="491"/>
      <c r="B244" s="548"/>
      <c r="C244" s="478"/>
      <c r="D244" s="478"/>
      <c r="E244" s="478"/>
      <c r="F244" s="478"/>
      <c r="G244" s="478"/>
      <c r="H244" s="478"/>
      <c r="I244" s="478"/>
      <c r="J244" s="478"/>
      <c r="K244" s="478"/>
      <c r="L244" s="478"/>
      <c r="M244" s="478"/>
      <c r="N244" s="478"/>
      <c r="O244" s="478"/>
      <c r="P244" s="478"/>
    </row>
    <row r="245" spans="1:16" s="544" customFormat="1" ht="15.75">
      <c r="A245" s="489" t="s">
        <v>307</v>
      </c>
      <c r="B245" s="546"/>
      <c r="C245" s="478"/>
      <c r="D245" s="478"/>
      <c r="E245" s="478"/>
      <c r="F245" s="478"/>
      <c r="G245" s="478"/>
      <c r="H245" s="478"/>
      <c r="I245" s="478"/>
      <c r="J245" s="478"/>
      <c r="K245" s="478"/>
      <c r="L245" s="478"/>
      <c r="M245" s="478"/>
      <c r="N245" s="478"/>
      <c r="O245" s="478"/>
      <c r="P245" s="478"/>
    </row>
    <row r="246" spans="1:16" s="544" customFormat="1" ht="15">
      <c r="A246" s="551" t="s">
        <v>308</v>
      </c>
      <c r="B246" s="552" t="s">
        <v>309</v>
      </c>
      <c r="C246" s="478"/>
      <c r="D246" s="478"/>
      <c r="E246" s="478"/>
      <c r="F246" s="478"/>
      <c r="G246" s="478"/>
      <c r="H246" s="478"/>
      <c r="I246" s="478"/>
      <c r="J246" s="478"/>
      <c r="K246" s="478"/>
      <c r="L246" s="478"/>
      <c r="M246" s="478"/>
      <c r="N246" s="478"/>
      <c r="O246" s="478"/>
      <c r="P246" s="478"/>
    </row>
    <row r="247" spans="1:16" s="544" customFormat="1" ht="15">
      <c r="A247" s="491"/>
      <c r="B247" s="546"/>
      <c r="C247" s="478"/>
      <c r="D247" s="478"/>
      <c r="E247" s="478"/>
      <c r="F247" s="478"/>
      <c r="G247" s="478"/>
      <c r="H247" s="478"/>
      <c r="I247" s="478"/>
      <c r="J247" s="478"/>
      <c r="K247" s="478"/>
      <c r="L247" s="478"/>
      <c r="M247" s="478"/>
      <c r="N247" s="478"/>
      <c r="O247" s="478"/>
      <c r="P247" s="478"/>
    </row>
    <row r="248" spans="1:16" s="544" customFormat="1" ht="15.75">
      <c r="A248" s="489" t="s">
        <v>514</v>
      </c>
      <c r="B248" s="546"/>
      <c r="C248" s="478"/>
      <c r="D248" s="478"/>
      <c r="E248" s="478"/>
      <c r="F248" s="478"/>
      <c r="G248" s="478"/>
      <c r="H248" s="478"/>
      <c r="I248" s="478"/>
      <c r="J248" s="478"/>
      <c r="K248" s="478"/>
      <c r="L248" s="478"/>
      <c r="M248" s="478"/>
      <c r="N248" s="478"/>
      <c r="O248" s="478"/>
      <c r="P248" s="478"/>
    </row>
    <row r="249" spans="1:16" s="544" customFormat="1" ht="15">
      <c r="A249" s="491" t="s">
        <v>310</v>
      </c>
      <c r="B249" s="546" t="s">
        <v>311</v>
      </c>
      <c r="C249" s="478"/>
      <c r="D249" s="478"/>
      <c r="E249" s="478"/>
      <c r="F249" s="478"/>
      <c r="G249" s="478"/>
      <c r="H249" s="478"/>
      <c r="I249" s="478"/>
      <c r="J249" s="478"/>
      <c r="K249" s="478"/>
      <c r="L249" s="478"/>
      <c r="M249" s="478"/>
      <c r="N249" s="478"/>
      <c r="O249" s="478"/>
      <c r="P249" s="478"/>
    </row>
    <row r="250" spans="1:16" s="544" customFormat="1" ht="15">
      <c r="A250" s="551" t="s">
        <v>312</v>
      </c>
      <c r="B250" s="552" t="s">
        <v>516</v>
      </c>
      <c r="C250" s="478"/>
      <c r="D250" s="478"/>
      <c r="E250" s="478"/>
      <c r="F250" s="478"/>
      <c r="G250" s="478"/>
      <c r="H250" s="478"/>
      <c r="I250" s="478"/>
      <c r="J250" s="478"/>
      <c r="K250" s="478"/>
      <c r="L250" s="478"/>
      <c r="M250" s="478"/>
      <c r="N250" s="478"/>
      <c r="O250" s="478"/>
      <c r="P250" s="478"/>
    </row>
    <row r="251" spans="1:16" s="544" customFormat="1" ht="15">
      <c r="A251" s="491"/>
      <c r="B251" s="543"/>
      <c r="C251" s="478"/>
      <c r="D251" s="478"/>
      <c r="E251" s="478"/>
      <c r="F251" s="478"/>
      <c r="G251" s="478"/>
      <c r="H251" s="478"/>
      <c r="I251" s="478"/>
      <c r="J251" s="478"/>
      <c r="K251" s="478"/>
      <c r="L251" s="478"/>
      <c r="M251" s="478"/>
      <c r="N251" s="478"/>
      <c r="O251" s="478"/>
      <c r="P251" s="478"/>
    </row>
    <row r="252" spans="1:16" s="544" customFormat="1" ht="15.75">
      <c r="A252" s="493" t="s">
        <v>509</v>
      </c>
      <c r="B252" s="543"/>
      <c r="C252" s="478"/>
      <c r="D252" s="478"/>
      <c r="E252" s="478"/>
      <c r="F252" s="478"/>
      <c r="G252" s="478"/>
      <c r="H252" s="478"/>
      <c r="I252" s="478"/>
      <c r="J252" s="478"/>
      <c r="K252" s="478"/>
      <c r="L252" s="478"/>
      <c r="M252" s="478"/>
      <c r="N252" s="478"/>
      <c r="O252" s="478"/>
      <c r="P252" s="478"/>
    </row>
    <row r="253" spans="1:16" s="544" customFormat="1" ht="15">
      <c r="A253" s="551" t="s">
        <v>313</v>
      </c>
      <c r="B253" s="552" t="s">
        <v>314</v>
      </c>
      <c r="C253" s="478"/>
      <c r="D253" s="478"/>
      <c r="E253" s="478"/>
      <c r="F253" s="478"/>
      <c r="G253" s="478"/>
      <c r="H253" s="478"/>
      <c r="I253" s="478"/>
      <c r="J253" s="478"/>
      <c r="K253" s="478"/>
      <c r="L253" s="478"/>
      <c r="M253" s="478"/>
      <c r="N253" s="478"/>
      <c r="O253" s="478"/>
      <c r="P253" s="478"/>
    </row>
    <row r="254" spans="1:16" s="544" customFormat="1" ht="15">
      <c r="A254" s="551" t="s">
        <v>315</v>
      </c>
      <c r="B254" s="552" t="s">
        <v>316</v>
      </c>
      <c r="C254" s="478"/>
      <c r="D254" s="478"/>
      <c r="E254" s="478"/>
      <c r="F254" s="478"/>
      <c r="G254" s="478"/>
      <c r="H254" s="478"/>
      <c r="I254" s="478"/>
      <c r="J254" s="478"/>
      <c r="K254" s="478"/>
      <c r="L254" s="478"/>
      <c r="M254" s="478"/>
      <c r="N254" s="478"/>
      <c r="O254" s="478"/>
      <c r="P254" s="478"/>
    </row>
    <row r="255" spans="1:16" s="544" customFormat="1" ht="15">
      <c r="A255" s="491" t="s">
        <v>317</v>
      </c>
      <c r="B255" s="548" t="s">
        <v>318</v>
      </c>
      <c r="C255" s="478"/>
      <c r="D255" s="478"/>
      <c r="E255" s="478"/>
      <c r="F255" s="478"/>
      <c r="G255" s="478"/>
      <c r="H255" s="478"/>
      <c r="I255" s="478"/>
      <c r="J255" s="478"/>
      <c r="K255" s="478"/>
      <c r="L255" s="478"/>
      <c r="M255" s="478"/>
      <c r="N255" s="478"/>
      <c r="O255" s="478"/>
      <c r="P255" s="478"/>
    </row>
    <row r="256" spans="1:16" s="544" customFormat="1" ht="15">
      <c r="A256" s="491" t="s">
        <v>319</v>
      </c>
      <c r="B256" s="548" t="s">
        <v>318</v>
      </c>
      <c r="C256" s="478"/>
      <c r="D256" s="478"/>
      <c r="E256" s="478"/>
      <c r="F256" s="478"/>
      <c r="G256" s="478"/>
      <c r="H256" s="478"/>
      <c r="I256" s="478"/>
      <c r="J256" s="478"/>
      <c r="K256" s="478"/>
      <c r="L256" s="478"/>
      <c r="M256" s="478"/>
      <c r="N256" s="478"/>
      <c r="O256" s="478"/>
      <c r="P256" s="478"/>
    </row>
    <row r="257" spans="1:16" s="544" customFormat="1" ht="15.75">
      <c r="A257" s="542" t="s">
        <v>525</v>
      </c>
      <c r="B257" s="543"/>
      <c r="C257" s="478"/>
      <c r="D257" s="478"/>
      <c r="E257" s="478"/>
      <c r="F257" s="478"/>
      <c r="G257" s="478"/>
      <c r="H257" s="478"/>
      <c r="I257" s="478"/>
      <c r="J257" s="478"/>
      <c r="K257" s="478"/>
      <c r="L257" s="478"/>
      <c r="M257" s="478"/>
      <c r="N257" s="478"/>
      <c r="O257" s="478"/>
      <c r="P257" s="478"/>
    </row>
    <row r="258" spans="1:16" s="544" customFormat="1" ht="15">
      <c r="A258" s="483"/>
      <c r="B258" s="543"/>
      <c r="C258" s="478"/>
      <c r="D258" s="478"/>
      <c r="E258" s="478"/>
      <c r="F258" s="478"/>
      <c r="G258" s="478"/>
      <c r="H258" s="478"/>
      <c r="I258" s="478"/>
      <c r="J258" s="478"/>
      <c r="K258" s="478"/>
      <c r="L258" s="478"/>
      <c r="M258" s="478"/>
      <c r="N258" s="478"/>
      <c r="O258" s="478"/>
      <c r="P258" s="478"/>
    </row>
    <row r="259" spans="1:16" s="544" customFormat="1" ht="15.75">
      <c r="A259" s="493" t="s">
        <v>509</v>
      </c>
      <c r="B259" s="543"/>
      <c r="C259" s="478"/>
      <c r="D259" s="478"/>
      <c r="E259" s="478"/>
      <c r="F259" s="478"/>
      <c r="G259" s="478"/>
      <c r="H259" s="478"/>
      <c r="I259" s="478"/>
      <c r="J259" s="478"/>
      <c r="K259" s="478"/>
      <c r="L259" s="478"/>
      <c r="M259" s="478"/>
      <c r="N259" s="478"/>
      <c r="O259" s="478"/>
      <c r="P259" s="478"/>
    </row>
    <row r="260" spans="1:16" s="544" customFormat="1" ht="15">
      <c r="A260" s="551" t="s">
        <v>320</v>
      </c>
      <c r="B260" s="552" t="s">
        <v>321</v>
      </c>
      <c r="C260" s="478"/>
      <c r="D260" s="478"/>
      <c r="E260" s="478"/>
      <c r="F260" s="478"/>
      <c r="G260" s="478"/>
      <c r="H260" s="478"/>
      <c r="I260" s="478"/>
      <c r="J260" s="478"/>
      <c r="K260" s="478"/>
      <c r="L260" s="478"/>
      <c r="M260" s="478"/>
      <c r="N260" s="478"/>
      <c r="O260" s="478"/>
      <c r="P260" s="478"/>
    </row>
    <row r="261" spans="1:16" s="544" customFormat="1" ht="15">
      <c r="A261" s="491"/>
      <c r="B261" s="546"/>
      <c r="C261" s="478"/>
      <c r="D261" s="478"/>
      <c r="E261" s="478"/>
      <c r="F261" s="478"/>
      <c r="G261" s="478"/>
      <c r="H261" s="478"/>
      <c r="I261" s="478"/>
      <c r="J261" s="478"/>
      <c r="K261" s="478"/>
      <c r="L261" s="478"/>
      <c r="M261" s="478"/>
      <c r="N261" s="478"/>
      <c r="O261" s="478"/>
      <c r="P261" s="478"/>
    </row>
    <row r="262" spans="1:16" s="544" customFormat="1" ht="15.75">
      <c r="A262" s="542" t="s">
        <v>528</v>
      </c>
      <c r="B262" s="543"/>
      <c r="C262" s="478"/>
      <c r="D262" s="478"/>
      <c r="E262" s="478"/>
      <c r="F262" s="478"/>
      <c r="G262" s="478"/>
      <c r="H262" s="478"/>
      <c r="I262" s="478"/>
      <c r="J262" s="478"/>
      <c r="K262" s="478"/>
      <c r="L262" s="478"/>
      <c r="M262" s="478"/>
      <c r="N262" s="478"/>
      <c r="O262" s="478"/>
      <c r="P262" s="478"/>
    </row>
    <row r="263" spans="1:16" s="544" customFormat="1" ht="15">
      <c r="A263" s="483"/>
      <c r="B263" s="543"/>
      <c r="C263" s="478"/>
      <c r="D263" s="478"/>
      <c r="E263" s="478"/>
      <c r="F263" s="478"/>
      <c r="G263" s="478"/>
      <c r="H263" s="478"/>
      <c r="I263" s="478"/>
      <c r="J263" s="478"/>
      <c r="K263" s="478"/>
      <c r="L263" s="478"/>
      <c r="M263" s="478"/>
      <c r="N263" s="478"/>
      <c r="O263" s="478"/>
      <c r="P263" s="478"/>
    </row>
    <row r="264" spans="1:16" s="544" customFormat="1" ht="15.75">
      <c r="A264" s="493" t="s">
        <v>509</v>
      </c>
      <c r="B264" s="543"/>
      <c r="C264" s="478"/>
      <c r="D264" s="478"/>
      <c r="E264" s="478"/>
      <c r="F264" s="478"/>
      <c r="G264" s="478"/>
      <c r="H264" s="478"/>
      <c r="I264" s="478"/>
      <c r="J264" s="478"/>
      <c r="K264" s="478"/>
      <c r="L264" s="478"/>
      <c r="M264" s="478"/>
      <c r="N264" s="478"/>
      <c r="O264" s="478"/>
      <c r="P264" s="478"/>
    </row>
    <row r="265" spans="1:16" s="544" customFormat="1" ht="15">
      <c r="A265" s="491" t="s">
        <v>322</v>
      </c>
      <c r="B265" s="548" t="s">
        <v>323</v>
      </c>
      <c r="C265" s="478"/>
      <c r="D265" s="478"/>
      <c r="E265" s="478"/>
      <c r="F265" s="478"/>
      <c r="G265" s="478"/>
      <c r="H265" s="478"/>
      <c r="I265" s="478"/>
      <c r="J265" s="478"/>
      <c r="K265" s="478"/>
      <c r="L265" s="478"/>
      <c r="M265" s="478"/>
      <c r="N265" s="478"/>
      <c r="O265" s="478"/>
      <c r="P265" s="478"/>
    </row>
    <row r="266" spans="1:16" s="544" customFormat="1" ht="15">
      <c r="A266" s="491" t="s">
        <v>324</v>
      </c>
      <c r="B266" s="548" t="s">
        <v>284</v>
      </c>
      <c r="C266" s="549"/>
      <c r="D266" s="478"/>
      <c r="E266" s="478"/>
      <c r="F266" s="478"/>
      <c r="G266" s="478"/>
      <c r="H266" s="478"/>
      <c r="I266" s="478"/>
      <c r="J266" s="478"/>
      <c r="K266" s="478"/>
      <c r="L266" s="478"/>
      <c r="M266" s="478"/>
      <c r="N266" s="478"/>
      <c r="O266" s="478"/>
      <c r="P266" s="478"/>
    </row>
    <row r="267" spans="1:16" s="544" customFormat="1" ht="15.75">
      <c r="A267" s="489" t="s">
        <v>307</v>
      </c>
      <c r="B267" s="546"/>
      <c r="C267" s="478"/>
      <c r="D267" s="478"/>
      <c r="E267" s="478"/>
      <c r="F267" s="478"/>
      <c r="G267" s="478"/>
      <c r="H267" s="478"/>
      <c r="I267" s="478"/>
      <c r="J267" s="478"/>
      <c r="K267" s="478"/>
      <c r="L267" s="478"/>
      <c r="M267" s="478"/>
      <c r="N267" s="478"/>
      <c r="O267" s="478"/>
      <c r="P267" s="478"/>
    </row>
    <row r="268" spans="1:16" s="544" customFormat="1" ht="15">
      <c r="A268" s="551" t="s">
        <v>325</v>
      </c>
      <c r="B268" s="552" t="s">
        <v>326</v>
      </c>
      <c r="C268" s="478"/>
      <c r="D268" s="478"/>
      <c r="E268" s="478"/>
      <c r="F268" s="478"/>
      <c r="G268" s="478"/>
      <c r="H268" s="478"/>
      <c r="I268" s="478"/>
      <c r="J268" s="478"/>
      <c r="K268" s="478"/>
      <c r="L268" s="478"/>
      <c r="M268" s="478"/>
      <c r="N268" s="478"/>
      <c r="O268" s="478"/>
      <c r="P268" s="478"/>
    </row>
    <row r="269" spans="1:16" s="544" customFormat="1" ht="15">
      <c r="A269" s="551"/>
      <c r="B269" s="552" t="s">
        <v>327</v>
      </c>
      <c r="C269" s="478"/>
      <c r="D269" s="478"/>
      <c r="E269" s="478"/>
      <c r="F269" s="478"/>
      <c r="G269" s="478"/>
      <c r="H269" s="478"/>
      <c r="I269" s="478"/>
      <c r="J269" s="478"/>
      <c r="K269" s="478"/>
      <c r="L269" s="478"/>
      <c r="M269" s="478"/>
      <c r="N269" s="478"/>
      <c r="O269" s="478"/>
      <c r="P269" s="478"/>
    </row>
    <row r="270" spans="1:16" s="544" customFormat="1" ht="15.75">
      <c r="A270" s="493" t="s">
        <v>514</v>
      </c>
      <c r="B270" s="543"/>
      <c r="C270" s="478"/>
      <c r="D270" s="478"/>
      <c r="E270" s="478"/>
      <c r="F270" s="478"/>
      <c r="G270" s="478"/>
      <c r="H270" s="478"/>
      <c r="I270" s="478"/>
      <c r="J270" s="478"/>
      <c r="K270" s="478"/>
      <c r="L270" s="478"/>
      <c r="M270" s="478"/>
      <c r="N270" s="478"/>
      <c r="O270" s="478"/>
      <c r="P270" s="478"/>
    </row>
    <row r="271" spans="1:16" s="544" customFormat="1" ht="15">
      <c r="A271" s="551" t="s">
        <v>328</v>
      </c>
      <c r="B271" s="552" t="s">
        <v>329</v>
      </c>
      <c r="C271" s="478"/>
      <c r="D271" s="478"/>
      <c r="E271" s="478"/>
      <c r="F271" s="478"/>
      <c r="G271" s="478"/>
      <c r="H271" s="478"/>
      <c r="I271" s="478"/>
      <c r="J271" s="478"/>
      <c r="K271" s="478"/>
      <c r="L271" s="478"/>
      <c r="M271" s="478"/>
      <c r="N271" s="478"/>
      <c r="O271" s="478"/>
      <c r="P271" s="478"/>
    </row>
    <row r="272" spans="1:16" s="544" customFormat="1" ht="15">
      <c r="A272" s="491" t="s">
        <v>330</v>
      </c>
      <c r="B272" s="546" t="s">
        <v>331</v>
      </c>
      <c r="C272" s="478"/>
      <c r="D272" s="478"/>
      <c r="E272" s="478"/>
      <c r="F272" s="478"/>
      <c r="G272" s="478"/>
      <c r="H272" s="478"/>
      <c r="I272" s="478"/>
      <c r="J272" s="478"/>
      <c r="K272" s="478"/>
      <c r="L272" s="478"/>
      <c r="M272" s="478"/>
      <c r="N272" s="478"/>
      <c r="O272" s="478"/>
      <c r="P272" s="478"/>
    </row>
    <row r="273" spans="1:16" s="544" customFormat="1" ht="15">
      <c r="A273" s="491" t="s">
        <v>332</v>
      </c>
      <c r="B273" s="546" t="s">
        <v>333</v>
      </c>
      <c r="C273" s="478"/>
      <c r="D273" s="478"/>
      <c r="E273" s="478"/>
      <c r="F273" s="478"/>
      <c r="G273" s="478"/>
      <c r="H273" s="478"/>
      <c r="I273" s="478"/>
      <c r="J273" s="478"/>
      <c r="K273" s="478"/>
      <c r="L273" s="478"/>
      <c r="M273" s="478"/>
      <c r="N273" s="478"/>
      <c r="O273" s="478"/>
      <c r="P273" s="478"/>
    </row>
    <row r="274" spans="1:16" s="544" customFormat="1" ht="15.75" thickBot="1">
      <c r="A274" s="556" t="s">
        <v>334</v>
      </c>
      <c r="B274" s="557" t="s">
        <v>335</v>
      </c>
      <c r="C274" s="478"/>
      <c r="D274" s="478"/>
      <c r="E274" s="478"/>
      <c r="F274" s="478"/>
      <c r="G274" s="478"/>
      <c r="H274" s="478"/>
      <c r="I274" s="478"/>
      <c r="J274" s="478"/>
      <c r="K274" s="478"/>
      <c r="L274" s="478"/>
      <c r="M274" s="478"/>
      <c r="N274" s="478"/>
      <c r="O274" s="478"/>
      <c r="P274" s="478"/>
    </row>
    <row r="275" spans="1:16" s="561" customFormat="1" ht="18">
      <c r="A275" s="504"/>
      <c r="B275" s="504"/>
      <c r="C275" s="479"/>
      <c r="D275" s="877"/>
      <c r="E275" s="877"/>
      <c r="F275" s="479"/>
      <c r="G275" s="479"/>
      <c r="H275" s="479"/>
      <c r="I275" s="479"/>
      <c r="J275" s="479"/>
      <c r="K275" s="479"/>
      <c r="L275" s="479"/>
      <c r="M275" s="479"/>
      <c r="N275" s="479"/>
      <c r="O275" s="479"/>
      <c r="P275" s="479"/>
    </row>
    <row r="276" spans="1:3" s="479" customFormat="1" ht="18">
      <c r="A276" s="877" t="s">
        <v>382</v>
      </c>
      <c r="B276" s="877"/>
      <c r="C276" s="478"/>
    </row>
    <row r="277" ht="15.75" thickBot="1"/>
    <row r="278" spans="1:3" ht="16.5" thickBot="1">
      <c r="A278" s="878" t="s">
        <v>173</v>
      </c>
      <c r="B278" s="879"/>
      <c r="C278" s="479"/>
    </row>
    <row r="279" spans="1:16" s="539" customFormat="1" ht="12" thickBot="1">
      <c r="A279" s="538"/>
      <c r="B279" s="538"/>
      <c r="C279" s="538"/>
      <c r="D279" s="538"/>
      <c r="E279" s="538"/>
      <c r="F279" s="538"/>
      <c r="G279" s="538"/>
      <c r="H279" s="538"/>
      <c r="I279" s="538"/>
      <c r="J279" s="538"/>
      <c r="K279" s="538"/>
      <c r="L279" s="538"/>
      <c r="M279" s="538"/>
      <c r="N279" s="538"/>
      <c r="O279" s="538"/>
      <c r="P279" s="538"/>
    </row>
    <row r="280" spans="1:16" s="544" customFormat="1" ht="15.75">
      <c r="A280" s="553" t="s">
        <v>507</v>
      </c>
      <c r="B280" s="554" t="s">
        <v>174</v>
      </c>
      <c r="C280" s="479"/>
      <c r="D280" s="478"/>
      <c r="E280" s="478"/>
      <c r="F280" s="478"/>
      <c r="G280" s="478"/>
      <c r="H280" s="478"/>
      <c r="I280" s="478"/>
      <c r="J280" s="478"/>
      <c r="K280" s="478"/>
      <c r="L280" s="478"/>
      <c r="M280" s="478"/>
      <c r="N280" s="478"/>
      <c r="O280" s="478"/>
      <c r="P280" s="478"/>
    </row>
    <row r="281" spans="1:16" s="544" customFormat="1" ht="15">
      <c r="A281" s="491"/>
      <c r="B281" s="546"/>
      <c r="C281" s="478"/>
      <c r="D281" s="478"/>
      <c r="E281" s="478"/>
      <c r="F281" s="478"/>
      <c r="G281" s="478"/>
      <c r="H281" s="478"/>
      <c r="I281" s="478"/>
      <c r="J281" s="478"/>
      <c r="K281" s="478"/>
      <c r="L281" s="478"/>
      <c r="M281" s="478"/>
      <c r="N281" s="478"/>
      <c r="O281" s="478"/>
      <c r="P281" s="478"/>
    </row>
    <row r="282" spans="1:16" s="544" customFormat="1" ht="15.75">
      <c r="A282" s="542" t="s">
        <v>530</v>
      </c>
      <c r="B282" s="543"/>
      <c r="C282" s="478"/>
      <c r="D282" s="478"/>
      <c r="E282" s="478"/>
      <c r="F282" s="478"/>
      <c r="G282" s="478"/>
      <c r="H282" s="478"/>
      <c r="I282" s="478"/>
      <c r="J282" s="478"/>
      <c r="K282" s="478"/>
      <c r="L282" s="478"/>
      <c r="M282" s="478"/>
      <c r="N282" s="478"/>
      <c r="O282" s="478"/>
      <c r="P282" s="478"/>
    </row>
    <row r="283" spans="1:16" s="544" customFormat="1" ht="15.75">
      <c r="A283" s="545"/>
      <c r="B283" s="543"/>
      <c r="C283" s="478"/>
      <c r="D283" s="478"/>
      <c r="E283" s="478"/>
      <c r="F283" s="478"/>
      <c r="G283" s="478"/>
      <c r="H283" s="478"/>
      <c r="I283" s="478"/>
      <c r="J283" s="478"/>
      <c r="K283" s="478"/>
      <c r="L283" s="478"/>
      <c r="M283" s="478"/>
      <c r="N283" s="478"/>
      <c r="O283" s="478"/>
      <c r="P283" s="478"/>
    </row>
    <row r="284" spans="1:16" s="544" customFormat="1" ht="15.75">
      <c r="A284" s="489" t="s">
        <v>282</v>
      </c>
      <c r="B284" s="546"/>
      <c r="C284" s="478"/>
      <c r="D284" s="478"/>
      <c r="E284" s="478"/>
      <c r="F284" s="478"/>
      <c r="G284" s="478"/>
      <c r="H284" s="478"/>
      <c r="I284" s="478"/>
      <c r="J284" s="478"/>
      <c r="K284" s="478"/>
      <c r="L284" s="478"/>
      <c r="M284" s="478"/>
      <c r="N284" s="478"/>
      <c r="O284" s="478"/>
      <c r="P284" s="478"/>
    </row>
    <row r="285" spans="1:16" s="544" customFormat="1" ht="15">
      <c r="A285" s="491" t="s">
        <v>336</v>
      </c>
      <c r="B285" s="548" t="s">
        <v>284</v>
      </c>
      <c r="C285" s="478"/>
      <c r="D285" s="478"/>
      <c r="E285" s="478"/>
      <c r="F285" s="478"/>
      <c r="G285" s="478"/>
      <c r="H285" s="478"/>
      <c r="I285" s="478"/>
      <c r="J285" s="478"/>
      <c r="K285" s="478"/>
      <c r="L285" s="478"/>
      <c r="M285" s="478"/>
      <c r="N285" s="478"/>
      <c r="O285" s="478"/>
      <c r="P285" s="478"/>
    </row>
    <row r="286" spans="1:16" s="547" customFormat="1" ht="15">
      <c r="A286" s="491"/>
      <c r="B286" s="548"/>
      <c r="C286" s="511"/>
      <c r="D286" s="511"/>
      <c r="E286" s="511"/>
      <c r="F286" s="511"/>
      <c r="G286" s="511"/>
      <c r="H286" s="511"/>
      <c r="I286" s="511"/>
      <c r="J286" s="511"/>
      <c r="K286" s="511"/>
      <c r="L286" s="511"/>
      <c r="M286" s="511"/>
      <c r="N286" s="511"/>
      <c r="O286" s="511"/>
      <c r="P286" s="511"/>
    </row>
    <row r="287" spans="1:16" s="544" customFormat="1" ht="15.75">
      <c r="A287" s="489" t="s">
        <v>198</v>
      </c>
      <c r="B287" s="546"/>
      <c r="C287" s="478"/>
      <c r="D287" s="478"/>
      <c r="E287" s="478"/>
      <c r="F287" s="478"/>
      <c r="G287" s="478"/>
      <c r="H287" s="478"/>
      <c r="I287" s="478"/>
      <c r="J287" s="478"/>
      <c r="K287" s="478"/>
      <c r="L287" s="478"/>
      <c r="M287" s="478"/>
      <c r="N287" s="478"/>
      <c r="O287" s="478"/>
      <c r="P287" s="478"/>
    </row>
    <row r="288" spans="1:16" s="544" customFormat="1" ht="15">
      <c r="A288" s="551" t="s">
        <v>337</v>
      </c>
      <c r="B288" s="552" t="s">
        <v>338</v>
      </c>
      <c r="C288" s="478"/>
      <c r="D288" s="478"/>
      <c r="E288" s="478"/>
      <c r="F288" s="478"/>
      <c r="G288" s="478"/>
      <c r="H288" s="478"/>
      <c r="I288" s="478"/>
      <c r="J288" s="478"/>
      <c r="K288" s="478"/>
      <c r="L288" s="478"/>
      <c r="M288" s="478"/>
      <c r="N288" s="478"/>
      <c r="O288" s="478"/>
      <c r="P288" s="478"/>
    </row>
    <row r="289" spans="1:16" s="547" customFormat="1" ht="15">
      <c r="A289" s="491"/>
      <c r="B289" s="546"/>
      <c r="C289" s="511"/>
      <c r="D289" s="511"/>
      <c r="E289" s="511"/>
      <c r="F289" s="511"/>
      <c r="G289" s="511"/>
      <c r="H289" s="511"/>
      <c r="I289" s="511"/>
      <c r="J289" s="511"/>
      <c r="K289" s="511"/>
      <c r="L289" s="511"/>
      <c r="M289" s="511"/>
      <c r="N289" s="511"/>
      <c r="O289" s="511"/>
      <c r="P289" s="511"/>
    </row>
    <row r="290" spans="1:16" s="547" customFormat="1" ht="15.75">
      <c r="A290" s="493" t="s">
        <v>509</v>
      </c>
      <c r="B290" s="546"/>
      <c r="C290" s="511"/>
      <c r="D290" s="511"/>
      <c r="E290" s="511"/>
      <c r="F290" s="511"/>
      <c r="G290" s="511"/>
      <c r="H290" s="511"/>
      <c r="I290" s="511"/>
      <c r="J290" s="511"/>
      <c r="K290" s="511"/>
      <c r="L290" s="511"/>
      <c r="M290" s="511"/>
      <c r="N290" s="511"/>
      <c r="O290" s="511"/>
      <c r="P290" s="511"/>
    </row>
    <row r="291" spans="1:16" s="547" customFormat="1" ht="15">
      <c r="A291" s="491" t="s">
        <v>339</v>
      </c>
      <c r="B291" s="548" t="s">
        <v>284</v>
      </c>
      <c r="C291" s="511"/>
      <c r="D291" s="511"/>
      <c r="E291" s="511"/>
      <c r="F291" s="511"/>
      <c r="G291" s="511"/>
      <c r="H291" s="511"/>
      <c r="I291" s="511"/>
      <c r="J291" s="511"/>
      <c r="K291" s="511"/>
      <c r="L291" s="511"/>
      <c r="M291" s="511"/>
      <c r="N291" s="511"/>
      <c r="O291" s="511"/>
      <c r="P291" s="511"/>
    </row>
    <row r="292" spans="1:16" s="547" customFormat="1" ht="15.75">
      <c r="A292" s="491" t="s">
        <v>347</v>
      </c>
      <c r="B292" s="548" t="s">
        <v>284</v>
      </c>
      <c r="C292" s="511"/>
      <c r="D292" s="511"/>
      <c r="E292" s="511"/>
      <c r="F292" s="511"/>
      <c r="G292" s="511"/>
      <c r="H292" s="511"/>
      <c r="I292" s="511"/>
      <c r="J292" s="511"/>
      <c r="K292" s="511"/>
      <c r="L292" s="511"/>
      <c r="M292" s="511"/>
      <c r="N292" s="511"/>
      <c r="O292" s="511"/>
      <c r="P292" s="511"/>
    </row>
    <row r="293" spans="1:16" s="544" customFormat="1" ht="12.75" customHeight="1">
      <c r="A293" s="491"/>
      <c r="B293" s="546"/>
      <c r="C293" s="478"/>
      <c r="D293" s="478"/>
      <c r="E293" s="478"/>
      <c r="F293" s="478"/>
      <c r="G293" s="478"/>
      <c r="H293" s="478"/>
      <c r="I293" s="478"/>
      <c r="J293" s="478"/>
      <c r="K293" s="478"/>
      <c r="L293" s="478"/>
      <c r="M293" s="478"/>
      <c r="N293" s="478"/>
      <c r="O293" s="478"/>
      <c r="P293" s="478"/>
    </row>
    <row r="294" spans="1:16" s="544" customFormat="1" ht="15.75">
      <c r="A294" s="489" t="s">
        <v>531</v>
      </c>
      <c r="B294" s="546"/>
      <c r="C294" s="478"/>
      <c r="D294" s="478"/>
      <c r="E294" s="478"/>
      <c r="F294" s="478"/>
      <c r="G294" s="478"/>
      <c r="H294" s="478"/>
      <c r="I294" s="478"/>
      <c r="J294" s="478"/>
      <c r="K294" s="478"/>
      <c r="L294" s="478"/>
      <c r="M294" s="478"/>
      <c r="N294" s="478"/>
      <c r="O294" s="478"/>
      <c r="P294" s="478"/>
    </row>
    <row r="295" spans="1:16" s="544" customFormat="1" ht="15">
      <c r="A295" s="491" t="s">
        <v>340</v>
      </c>
      <c r="B295" s="548" t="s">
        <v>284</v>
      </c>
      <c r="C295" s="478"/>
      <c r="D295" s="478"/>
      <c r="E295" s="478"/>
      <c r="F295" s="478"/>
      <c r="G295" s="478"/>
      <c r="H295" s="478"/>
      <c r="I295" s="478"/>
      <c r="J295" s="478"/>
      <c r="K295" s="478"/>
      <c r="L295" s="478"/>
      <c r="M295" s="478"/>
      <c r="N295" s="478"/>
      <c r="O295" s="478"/>
      <c r="P295" s="478"/>
    </row>
    <row r="296" spans="1:16" s="544" customFormat="1" ht="15">
      <c r="A296" s="491" t="s">
        <v>341</v>
      </c>
      <c r="B296" s="548" t="s">
        <v>284</v>
      </c>
      <c r="C296" s="478"/>
      <c r="D296" s="478"/>
      <c r="E296" s="478"/>
      <c r="F296" s="478"/>
      <c r="G296" s="478"/>
      <c r="H296" s="478"/>
      <c r="I296" s="478"/>
      <c r="J296" s="478"/>
      <c r="K296" s="478"/>
      <c r="L296" s="478"/>
      <c r="M296" s="478"/>
      <c r="N296" s="478"/>
      <c r="O296" s="478"/>
      <c r="P296" s="478"/>
    </row>
    <row r="297" spans="1:16" s="544" customFormat="1" ht="15">
      <c r="A297" s="551" t="s">
        <v>342</v>
      </c>
      <c r="B297" s="552" t="s">
        <v>516</v>
      </c>
      <c r="C297" s="478"/>
      <c r="D297" s="478"/>
      <c r="E297" s="478"/>
      <c r="F297" s="478"/>
      <c r="G297" s="478"/>
      <c r="H297" s="478"/>
      <c r="I297" s="478"/>
      <c r="J297" s="478"/>
      <c r="K297" s="478"/>
      <c r="L297" s="478"/>
      <c r="M297" s="478"/>
      <c r="N297" s="478"/>
      <c r="O297" s="478"/>
      <c r="P297" s="478"/>
    </row>
    <row r="298" spans="1:16" s="544" customFormat="1" ht="15">
      <c r="A298" s="551" t="s">
        <v>343</v>
      </c>
      <c r="B298" s="552" t="s">
        <v>344</v>
      </c>
      <c r="C298" s="478"/>
      <c r="D298" s="478"/>
      <c r="E298" s="478"/>
      <c r="F298" s="478"/>
      <c r="G298" s="478"/>
      <c r="H298" s="478"/>
      <c r="I298" s="478"/>
      <c r="J298" s="478"/>
      <c r="K298" s="478"/>
      <c r="L298" s="478"/>
      <c r="M298" s="478"/>
      <c r="N298" s="478"/>
      <c r="O298" s="478"/>
      <c r="P298" s="478"/>
    </row>
    <row r="299" spans="1:16" s="544" customFormat="1" ht="15">
      <c r="A299" s="483"/>
      <c r="B299" s="543"/>
      <c r="C299" s="478"/>
      <c r="D299" s="478"/>
      <c r="E299" s="478"/>
      <c r="F299" s="478"/>
      <c r="G299" s="478"/>
      <c r="H299" s="478"/>
      <c r="I299" s="478"/>
      <c r="J299" s="478"/>
      <c r="K299" s="478"/>
      <c r="L299" s="478"/>
      <c r="M299" s="478"/>
      <c r="N299" s="478"/>
      <c r="O299" s="478"/>
      <c r="P299" s="478"/>
    </row>
    <row r="300" spans="1:16" s="544" customFormat="1" ht="15.75">
      <c r="A300" s="489" t="s">
        <v>513</v>
      </c>
      <c r="B300" s="546"/>
      <c r="C300" s="478"/>
      <c r="D300" s="478"/>
      <c r="E300" s="478"/>
      <c r="F300" s="478"/>
      <c r="G300" s="478"/>
      <c r="H300" s="478"/>
      <c r="I300" s="478"/>
      <c r="J300" s="478"/>
      <c r="K300" s="478"/>
      <c r="L300" s="478"/>
      <c r="M300" s="478"/>
      <c r="N300" s="478"/>
      <c r="O300" s="478"/>
      <c r="P300" s="478"/>
    </row>
    <row r="301" spans="1:16" s="544" customFormat="1" ht="15.75" thickBot="1">
      <c r="A301" s="556" t="s">
        <v>345</v>
      </c>
      <c r="B301" s="557" t="s">
        <v>289</v>
      </c>
      <c r="C301" s="478"/>
      <c r="D301" s="478"/>
      <c r="E301" s="478"/>
      <c r="F301" s="478"/>
      <c r="G301" s="478"/>
      <c r="H301" s="478"/>
      <c r="I301" s="478"/>
      <c r="J301" s="478"/>
      <c r="K301" s="478"/>
      <c r="L301" s="478"/>
      <c r="M301" s="478"/>
      <c r="N301" s="478"/>
      <c r="O301" s="478"/>
      <c r="P301" s="478"/>
    </row>
    <row r="302" s="544" customFormat="1" ht="15"/>
    <row r="303" ht="15">
      <c r="C303" s="532"/>
    </row>
    <row r="304" ht="15">
      <c r="C304" s="532"/>
    </row>
    <row r="305" ht="15">
      <c r="C305" s="532"/>
    </row>
    <row r="306" ht="15">
      <c r="C306" s="532"/>
    </row>
    <row r="307" ht="15">
      <c r="C307" s="532"/>
    </row>
    <row r="308" ht="15">
      <c r="C308" s="532"/>
    </row>
    <row r="309" ht="15">
      <c r="C309" s="532"/>
    </row>
    <row r="310" ht="15">
      <c r="C310" s="532"/>
    </row>
    <row r="311" ht="15">
      <c r="C311" s="532"/>
    </row>
    <row r="312" ht="15">
      <c r="C312" s="532"/>
    </row>
    <row r="313" ht="15">
      <c r="C313" s="532"/>
    </row>
    <row r="314" ht="15">
      <c r="C314" s="532"/>
    </row>
    <row r="315" ht="15">
      <c r="C315" s="532"/>
    </row>
    <row r="316" ht="15">
      <c r="C316" s="532"/>
    </row>
    <row r="317" ht="15">
      <c r="C317" s="532"/>
    </row>
    <row r="318" ht="15">
      <c r="C318" s="532"/>
    </row>
    <row r="319" ht="15">
      <c r="C319" s="532"/>
    </row>
    <row r="320" ht="15">
      <c r="C320" s="532"/>
    </row>
    <row r="321" ht="15">
      <c r="C321" s="532"/>
    </row>
    <row r="322" ht="15">
      <c r="C322" s="532"/>
    </row>
    <row r="323" ht="15">
      <c r="C323" s="532"/>
    </row>
    <row r="324" ht="15">
      <c r="C324" s="532"/>
    </row>
    <row r="325" ht="15">
      <c r="C325" s="532"/>
    </row>
    <row r="326" ht="15">
      <c r="C326" s="532"/>
    </row>
    <row r="327" ht="15">
      <c r="C327" s="532"/>
    </row>
    <row r="328" ht="15">
      <c r="C328" s="532"/>
    </row>
    <row r="329" ht="15">
      <c r="C329" s="532"/>
    </row>
    <row r="330" ht="15">
      <c r="C330" s="532"/>
    </row>
    <row r="331" ht="15">
      <c r="C331" s="532"/>
    </row>
    <row r="332" ht="15">
      <c r="C332" s="532"/>
    </row>
    <row r="333" ht="15">
      <c r="C333" s="532"/>
    </row>
    <row r="334" ht="15">
      <c r="C334" s="532"/>
    </row>
    <row r="335" ht="15">
      <c r="C335" s="532"/>
    </row>
    <row r="336" ht="15">
      <c r="C336" s="532"/>
    </row>
    <row r="337" ht="15">
      <c r="C337" s="532"/>
    </row>
    <row r="338" ht="15">
      <c r="C338" s="532"/>
    </row>
    <row r="339" ht="15">
      <c r="C339" s="532"/>
    </row>
    <row r="340" ht="15">
      <c r="C340" s="532"/>
    </row>
    <row r="341" ht="15">
      <c r="C341" s="532"/>
    </row>
    <row r="342" ht="15">
      <c r="C342" s="532"/>
    </row>
    <row r="343" ht="15">
      <c r="C343" s="532"/>
    </row>
    <row r="344" ht="15">
      <c r="C344" s="532"/>
    </row>
    <row r="345" ht="15">
      <c r="C345" s="532"/>
    </row>
    <row r="346" ht="15">
      <c r="C346" s="532"/>
    </row>
    <row r="347" ht="15">
      <c r="C347" s="532"/>
    </row>
    <row r="348" ht="15">
      <c r="C348" s="532"/>
    </row>
    <row r="349" ht="15">
      <c r="C349" s="532"/>
    </row>
    <row r="350" ht="15">
      <c r="C350" s="532"/>
    </row>
    <row r="351" ht="15">
      <c r="C351" s="532"/>
    </row>
    <row r="352" ht="15">
      <c r="C352" s="532"/>
    </row>
    <row r="353" ht="15">
      <c r="C353" s="532"/>
    </row>
    <row r="354" ht="15">
      <c r="C354" s="532"/>
    </row>
    <row r="355" ht="15">
      <c r="C355" s="532"/>
    </row>
    <row r="356" ht="15">
      <c r="C356" s="532"/>
    </row>
    <row r="357" ht="15">
      <c r="C357" s="532"/>
    </row>
    <row r="358" ht="15">
      <c r="C358" s="532"/>
    </row>
    <row r="359" ht="15">
      <c r="C359" s="532"/>
    </row>
    <row r="360" ht="15">
      <c r="C360" s="532"/>
    </row>
    <row r="361" ht="15">
      <c r="C361" s="532"/>
    </row>
    <row r="362" ht="15">
      <c r="C362" s="532"/>
    </row>
    <row r="363" ht="15">
      <c r="C363" s="532"/>
    </row>
    <row r="364" ht="15">
      <c r="C364" s="532"/>
    </row>
    <row r="365" ht="15">
      <c r="C365" s="532"/>
    </row>
    <row r="366" ht="15">
      <c r="C366" s="532"/>
    </row>
    <row r="367" ht="15">
      <c r="C367" s="532"/>
    </row>
    <row r="368" ht="15">
      <c r="C368" s="532"/>
    </row>
    <row r="369" ht="15">
      <c r="C369" s="532"/>
    </row>
    <row r="370" ht="15">
      <c r="C370" s="532"/>
    </row>
    <row r="371" ht="15">
      <c r="C371" s="532"/>
    </row>
    <row r="372" ht="15">
      <c r="C372" s="532"/>
    </row>
    <row r="373" ht="15">
      <c r="C373" s="532"/>
    </row>
    <row r="374" ht="15">
      <c r="C374" s="532"/>
    </row>
    <row r="375" ht="15">
      <c r="C375" s="532"/>
    </row>
    <row r="376" ht="15">
      <c r="C376" s="532"/>
    </row>
    <row r="377" ht="15">
      <c r="C377" s="532"/>
    </row>
    <row r="378" ht="15">
      <c r="C378" s="532"/>
    </row>
    <row r="379" ht="15">
      <c r="C379" s="532"/>
    </row>
    <row r="380" ht="15">
      <c r="C380" s="532"/>
    </row>
    <row r="381" ht="15">
      <c r="C381" s="532"/>
    </row>
    <row r="382" ht="15">
      <c r="C382" s="532"/>
    </row>
    <row r="383" ht="15">
      <c r="C383" s="532"/>
    </row>
    <row r="384" ht="15">
      <c r="C384" s="532"/>
    </row>
    <row r="385" ht="15">
      <c r="C385" s="532"/>
    </row>
    <row r="386" ht="15">
      <c r="C386" s="532"/>
    </row>
    <row r="387" ht="15">
      <c r="C387" s="532"/>
    </row>
    <row r="388" ht="15">
      <c r="C388" s="532"/>
    </row>
    <row r="389" ht="15">
      <c r="C389" s="532"/>
    </row>
    <row r="390" ht="15">
      <c r="C390" s="532"/>
    </row>
    <row r="391" ht="15">
      <c r="C391" s="532"/>
    </row>
    <row r="392" ht="15">
      <c r="C392" s="532"/>
    </row>
    <row r="393" ht="15">
      <c r="C393" s="532"/>
    </row>
    <row r="394" ht="15">
      <c r="C394" s="532"/>
    </row>
    <row r="395" ht="15">
      <c r="C395" s="532"/>
    </row>
    <row r="396" ht="15">
      <c r="C396" s="532"/>
    </row>
    <row r="397" ht="15">
      <c r="C397" s="532"/>
    </row>
    <row r="398" ht="15">
      <c r="C398" s="532"/>
    </row>
    <row r="399" ht="15">
      <c r="C399" s="532"/>
    </row>
    <row r="400" ht="15">
      <c r="C400" s="532"/>
    </row>
    <row r="401" ht="15">
      <c r="C401" s="532"/>
    </row>
    <row r="402" ht="15">
      <c r="C402" s="532"/>
    </row>
    <row r="403" ht="15">
      <c r="C403" s="532"/>
    </row>
    <row r="404" ht="15">
      <c r="C404" s="532"/>
    </row>
    <row r="405" ht="15">
      <c r="C405" s="532"/>
    </row>
    <row r="406" ht="15">
      <c r="C406" s="532"/>
    </row>
    <row r="407" ht="15">
      <c r="C407" s="532"/>
    </row>
    <row r="408" ht="15">
      <c r="C408" s="532"/>
    </row>
    <row r="409" ht="15">
      <c r="C409" s="532"/>
    </row>
    <row r="410" ht="15">
      <c r="C410" s="532"/>
    </row>
    <row r="411" ht="15">
      <c r="C411" s="532"/>
    </row>
    <row r="412" ht="15">
      <c r="C412" s="532"/>
    </row>
    <row r="413" ht="15">
      <c r="C413" s="532"/>
    </row>
    <row r="414" ht="15">
      <c r="C414" s="532"/>
    </row>
    <row r="415" ht="15">
      <c r="C415" s="532"/>
    </row>
    <row r="416" ht="15">
      <c r="C416" s="532"/>
    </row>
    <row r="417" ht="15">
      <c r="C417" s="532"/>
    </row>
    <row r="418" ht="15">
      <c r="C418" s="532"/>
    </row>
    <row r="419" ht="15">
      <c r="C419" s="532"/>
    </row>
    <row r="420" ht="15">
      <c r="C420" s="532"/>
    </row>
    <row r="421" ht="15">
      <c r="C421" s="532"/>
    </row>
    <row r="422" ht="15">
      <c r="C422" s="532"/>
    </row>
    <row r="423" ht="15">
      <c r="C423" s="532"/>
    </row>
    <row r="424" ht="15">
      <c r="C424" s="532"/>
    </row>
    <row r="425" ht="15">
      <c r="C425" s="532"/>
    </row>
    <row r="426" ht="15">
      <c r="C426" s="532"/>
    </row>
    <row r="427" ht="15">
      <c r="C427" s="532"/>
    </row>
    <row r="428" ht="15">
      <c r="C428" s="532"/>
    </row>
    <row r="429" ht="15">
      <c r="C429" s="532"/>
    </row>
    <row r="430" ht="15">
      <c r="C430" s="532"/>
    </row>
    <row r="431" ht="15">
      <c r="C431" s="532"/>
    </row>
    <row r="432" ht="15">
      <c r="C432" s="532"/>
    </row>
    <row r="433" ht="15">
      <c r="C433" s="532"/>
    </row>
    <row r="434" ht="15">
      <c r="C434" s="532"/>
    </row>
    <row r="435" ht="15">
      <c r="C435" s="532"/>
    </row>
    <row r="436" ht="15">
      <c r="C436" s="532"/>
    </row>
    <row r="437" ht="15">
      <c r="C437" s="532"/>
    </row>
    <row r="438" ht="15">
      <c r="C438" s="532"/>
    </row>
    <row r="439" ht="15">
      <c r="C439" s="532"/>
    </row>
    <row r="440" ht="15">
      <c r="C440" s="532"/>
    </row>
    <row r="441" ht="15">
      <c r="C441" s="532"/>
    </row>
    <row r="442" ht="15">
      <c r="C442" s="532"/>
    </row>
    <row r="443" ht="15">
      <c r="C443" s="532"/>
    </row>
    <row r="444" ht="15">
      <c r="C444" s="532"/>
    </row>
    <row r="445" ht="15">
      <c r="C445" s="532"/>
    </row>
    <row r="446" ht="15">
      <c r="C446" s="532"/>
    </row>
    <row r="447" ht="15">
      <c r="C447" s="532"/>
    </row>
    <row r="448" ht="15">
      <c r="C448" s="532"/>
    </row>
    <row r="449" ht="15">
      <c r="C449" s="532"/>
    </row>
    <row r="450" ht="15">
      <c r="C450" s="532"/>
    </row>
    <row r="451" ht="15">
      <c r="C451" s="532"/>
    </row>
    <row r="452" ht="15">
      <c r="C452" s="532"/>
    </row>
    <row r="453" ht="15">
      <c r="C453" s="532"/>
    </row>
    <row r="454" ht="15">
      <c r="C454" s="532"/>
    </row>
    <row r="455" ht="15">
      <c r="C455" s="532"/>
    </row>
    <row r="456" ht="15">
      <c r="C456" s="532"/>
    </row>
    <row r="457" ht="15">
      <c r="C457" s="532"/>
    </row>
    <row r="458" ht="15">
      <c r="C458" s="532"/>
    </row>
    <row r="459" ht="15">
      <c r="C459" s="532"/>
    </row>
    <row r="460" ht="15">
      <c r="C460" s="532"/>
    </row>
    <row r="461" ht="15">
      <c r="C461" s="532"/>
    </row>
    <row r="462" ht="15">
      <c r="C462" s="532"/>
    </row>
    <row r="463" ht="15">
      <c r="C463" s="532"/>
    </row>
    <row r="464" ht="15">
      <c r="C464" s="532"/>
    </row>
    <row r="465" ht="15">
      <c r="C465" s="532"/>
    </row>
    <row r="466" ht="15">
      <c r="C466" s="532"/>
    </row>
    <row r="467" ht="15">
      <c r="C467" s="532"/>
    </row>
    <row r="468" ht="15">
      <c r="C468" s="532"/>
    </row>
    <row r="469" ht="15">
      <c r="C469" s="532"/>
    </row>
    <row r="470" ht="15">
      <c r="C470" s="532"/>
    </row>
    <row r="471" ht="15">
      <c r="C471" s="532"/>
    </row>
    <row r="472" ht="15">
      <c r="C472" s="532"/>
    </row>
    <row r="473" ht="15">
      <c r="C473" s="532"/>
    </row>
    <row r="474" ht="15">
      <c r="C474" s="532"/>
    </row>
    <row r="475" ht="15">
      <c r="C475" s="532"/>
    </row>
    <row r="476" ht="15">
      <c r="C476" s="532"/>
    </row>
    <row r="477" ht="15">
      <c r="C477" s="532"/>
    </row>
    <row r="478" ht="15">
      <c r="C478" s="532"/>
    </row>
    <row r="479" ht="15">
      <c r="C479" s="532"/>
    </row>
    <row r="480" ht="15">
      <c r="C480" s="532"/>
    </row>
    <row r="481" ht="15">
      <c r="C481" s="532"/>
    </row>
    <row r="482" ht="15">
      <c r="C482" s="532"/>
    </row>
    <row r="483" ht="15">
      <c r="C483" s="532"/>
    </row>
    <row r="484" ht="15">
      <c r="C484" s="532"/>
    </row>
    <row r="485" ht="15">
      <c r="C485" s="532"/>
    </row>
    <row r="486" ht="15">
      <c r="C486" s="532"/>
    </row>
    <row r="487" ht="15">
      <c r="C487" s="532"/>
    </row>
    <row r="488" ht="15">
      <c r="C488" s="532"/>
    </row>
    <row r="489" ht="15">
      <c r="C489" s="532"/>
    </row>
    <row r="490" ht="15">
      <c r="C490" s="532"/>
    </row>
    <row r="491" ht="15">
      <c r="C491" s="532"/>
    </row>
    <row r="492" ht="15">
      <c r="C492" s="532"/>
    </row>
    <row r="493" ht="15">
      <c r="C493" s="532"/>
    </row>
    <row r="494" ht="15">
      <c r="C494" s="532"/>
    </row>
    <row r="495" ht="15">
      <c r="C495" s="532"/>
    </row>
    <row r="496" ht="15">
      <c r="C496" s="532"/>
    </row>
    <row r="497" ht="15">
      <c r="C497" s="532"/>
    </row>
    <row r="498" ht="15">
      <c r="C498" s="532"/>
    </row>
    <row r="499" ht="15">
      <c r="C499" s="532"/>
    </row>
    <row r="500" ht="15">
      <c r="C500" s="532"/>
    </row>
    <row r="501" ht="15">
      <c r="C501" s="533"/>
    </row>
    <row r="502" ht="15">
      <c r="C502" s="533"/>
    </row>
    <row r="503" ht="15">
      <c r="C503" s="533"/>
    </row>
    <row r="504" ht="15">
      <c r="C504" s="533"/>
    </row>
    <row r="505" ht="15">
      <c r="C505" s="533"/>
    </row>
    <row r="506" ht="15">
      <c r="C506" s="533"/>
    </row>
    <row r="507" ht="15">
      <c r="C507" s="533"/>
    </row>
    <row r="508" ht="15">
      <c r="C508" s="533"/>
    </row>
    <row r="509" ht="15">
      <c r="C509" s="533"/>
    </row>
    <row r="510" ht="15">
      <c r="C510" s="533"/>
    </row>
    <row r="511" ht="15">
      <c r="C511" s="533"/>
    </row>
    <row r="512" ht="15">
      <c r="C512" s="533"/>
    </row>
    <row r="513" ht="15">
      <c r="C513" s="533"/>
    </row>
    <row r="514" ht="15">
      <c r="C514" s="533"/>
    </row>
    <row r="515" ht="15">
      <c r="C515" s="533"/>
    </row>
    <row r="516" ht="15">
      <c r="C516" s="533"/>
    </row>
    <row r="517" ht="15">
      <c r="C517" s="533"/>
    </row>
    <row r="518" ht="15">
      <c r="C518" s="533"/>
    </row>
    <row r="519" ht="15">
      <c r="C519" s="533"/>
    </row>
    <row r="520" ht="15">
      <c r="C520" s="533"/>
    </row>
    <row r="521" ht="15">
      <c r="C521" s="533"/>
    </row>
    <row r="522" ht="15">
      <c r="C522" s="533"/>
    </row>
    <row r="523" ht="15">
      <c r="C523" s="533"/>
    </row>
    <row r="524" ht="15">
      <c r="C524" s="533"/>
    </row>
    <row r="525" ht="15">
      <c r="C525" s="533"/>
    </row>
    <row r="526" ht="15">
      <c r="C526" s="533"/>
    </row>
    <row r="527" ht="15">
      <c r="C527" s="533"/>
    </row>
    <row r="528" ht="15">
      <c r="C528" s="533"/>
    </row>
    <row r="529" ht="15">
      <c r="C529" s="533"/>
    </row>
    <row r="530" ht="15">
      <c r="C530" s="533"/>
    </row>
    <row r="531" ht="15">
      <c r="C531" s="533"/>
    </row>
    <row r="532" ht="15">
      <c r="C532" s="533"/>
    </row>
    <row r="533" ht="15">
      <c r="C533" s="533"/>
    </row>
    <row r="534" ht="15">
      <c r="C534" s="533"/>
    </row>
    <row r="535" ht="15">
      <c r="C535" s="533"/>
    </row>
    <row r="536" ht="15">
      <c r="C536" s="533"/>
    </row>
    <row r="537" ht="15">
      <c r="C537" s="533"/>
    </row>
    <row r="538" ht="15">
      <c r="C538" s="533"/>
    </row>
    <row r="539" ht="15">
      <c r="C539" s="533"/>
    </row>
    <row r="540" ht="15">
      <c r="C540" s="533"/>
    </row>
    <row r="541" ht="15">
      <c r="C541" s="533"/>
    </row>
    <row r="542" ht="15">
      <c r="C542" s="533"/>
    </row>
    <row r="543" ht="15">
      <c r="C543" s="533"/>
    </row>
    <row r="544" ht="15">
      <c r="C544" s="533"/>
    </row>
    <row r="545" ht="15">
      <c r="C545" s="533"/>
    </row>
    <row r="546" ht="15">
      <c r="C546" s="533"/>
    </row>
    <row r="547" ht="15">
      <c r="C547" s="533"/>
    </row>
    <row r="548" ht="15">
      <c r="C548" s="533"/>
    </row>
    <row r="549" ht="15">
      <c r="C549" s="533"/>
    </row>
    <row r="550" ht="15">
      <c r="C550" s="533"/>
    </row>
    <row r="551" ht="15">
      <c r="C551" s="533"/>
    </row>
    <row r="552" ht="15">
      <c r="C552" s="533"/>
    </row>
    <row r="553" ht="15">
      <c r="C553" s="533"/>
    </row>
    <row r="554" ht="15">
      <c r="C554" s="533"/>
    </row>
    <row r="555" ht="15">
      <c r="C555" s="533"/>
    </row>
    <row r="556" ht="15">
      <c r="C556" s="533"/>
    </row>
    <row r="557" ht="15">
      <c r="C557" s="533"/>
    </row>
    <row r="558" ht="15">
      <c r="C558" s="533"/>
    </row>
    <row r="559" ht="15">
      <c r="C559" s="533"/>
    </row>
    <row r="560" ht="15">
      <c r="C560" s="533"/>
    </row>
    <row r="561" ht="15">
      <c r="C561" s="533"/>
    </row>
    <row r="562" ht="15">
      <c r="C562" s="533"/>
    </row>
    <row r="563" ht="15">
      <c r="C563" s="533"/>
    </row>
    <row r="564" ht="15">
      <c r="C564" s="533"/>
    </row>
    <row r="565" ht="15">
      <c r="C565" s="533"/>
    </row>
    <row r="566" ht="15">
      <c r="C566" s="533"/>
    </row>
    <row r="567" ht="15">
      <c r="C567" s="533"/>
    </row>
    <row r="568" ht="15">
      <c r="C568" s="533"/>
    </row>
    <row r="569" ht="15">
      <c r="C569" s="533"/>
    </row>
    <row r="570" ht="15">
      <c r="C570" s="533"/>
    </row>
    <row r="571" ht="15">
      <c r="C571" s="533"/>
    </row>
    <row r="572" ht="15">
      <c r="C572" s="533"/>
    </row>
    <row r="573" ht="15">
      <c r="C573" s="533"/>
    </row>
    <row r="574" ht="15">
      <c r="C574" s="533"/>
    </row>
    <row r="575" ht="15">
      <c r="C575" s="533"/>
    </row>
    <row r="576" ht="15">
      <c r="C576" s="533"/>
    </row>
    <row r="577" ht="15">
      <c r="C577" s="533"/>
    </row>
    <row r="578" ht="15">
      <c r="C578" s="533"/>
    </row>
    <row r="579" ht="15">
      <c r="C579" s="533"/>
    </row>
    <row r="580" ht="15">
      <c r="C580" s="533"/>
    </row>
    <row r="581" ht="15">
      <c r="C581" s="533"/>
    </row>
    <row r="582" ht="15">
      <c r="C582" s="533"/>
    </row>
    <row r="583" ht="15">
      <c r="C583" s="533"/>
    </row>
    <row r="584" ht="15">
      <c r="C584" s="533"/>
    </row>
    <row r="585" ht="15">
      <c r="C585" s="533"/>
    </row>
    <row r="586" ht="15">
      <c r="C586" s="533"/>
    </row>
    <row r="587" ht="15">
      <c r="C587" s="533"/>
    </row>
    <row r="588" ht="15">
      <c r="C588" s="533"/>
    </row>
    <row r="589" ht="15">
      <c r="C589" s="533"/>
    </row>
    <row r="590" ht="15">
      <c r="C590" s="533"/>
    </row>
    <row r="591" ht="15">
      <c r="C591" s="533"/>
    </row>
    <row r="592" ht="15">
      <c r="C592" s="533"/>
    </row>
    <row r="593" ht="15">
      <c r="C593" s="533"/>
    </row>
    <row r="594" ht="15">
      <c r="C594" s="533"/>
    </row>
    <row r="595" ht="15">
      <c r="C595" s="533"/>
    </row>
    <row r="596" ht="15">
      <c r="C596" s="533"/>
    </row>
    <row r="597" ht="15">
      <c r="C597" s="533"/>
    </row>
    <row r="598" ht="15">
      <c r="C598" s="533"/>
    </row>
    <row r="599" ht="15">
      <c r="C599" s="533"/>
    </row>
    <row r="600" ht="15">
      <c r="C600" s="533"/>
    </row>
    <row r="601" ht="15">
      <c r="C601" s="533"/>
    </row>
    <row r="602" ht="15">
      <c r="C602" s="533"/>
    </row>
    <row r="603" ht="15">
      <c r="C603" s="533"/>
    </row>
    <row r="604" ht="15">
      <c r="C604" s="533"/>
    </row>
    <row r="605" ht="15">
      <c r="C605" s="533"/>
    </row>
    <row r="606" ht="15">
      <c r="C606" s="533"/>
    </row>
    <row r="607" ht="15">
      <c r="C607" s="533"/>
    </row>
    <row r="608" ht="15">
      <c r="C608" s="533"/>
    </row>
    <row r="609" ht="15">
      <c r="C609" s="533"/>
    </row>
    <row r="610" ht="15">
      <c r="C610" s="533"/>
    </row>
    <row r="611" ht="15">
      <c r="C611" s="533"/>
    </row>
    <row r="612" ht="15">
      <c r="C612" s="533"/>
    </row>
    <row r="613" ht="15">
      <c r="C613" s="533"/>
    </row>
    <row r="614" ht="15">
      <c r="C614" s="533"/>
    </row>
    <row r="615" ht="15">
      <c r="C615" s="533"/>
    </row>
    <row r="616" ht="15">
      <c r="C616" s="533"/>
    </row>
    <row r="617" ht="15">
      <c r="C617" s="533"/>
    </row>
    <row r="618" ht="15">
      <c r="C618" s="533"/>
    </row>
    <row r="619" ht="15">
      <c r="C619" s="533"/>
    </row>
    <row r="620" ht="15">
      <c r="C620" s="533"/>
    </row>
    <row r="621" ht="15">
      <c r="C621" s="533"/>
    </row>
    <row r="622" ht="15">
      <c r="C622" s="533"/>
    </row>
    <row r="623" ht="15">
      <c r="C623" s="533"/>
    </row>
    <row r="624" ht="15">
      <c r="C624" s="533"/>
    </row>
    <row r="625" ht="15">
      <c r="C625" s="533"/>
    </row>
    <row r="626" ht="15">
      <c r="C626" s="533"/>
    </row>
    <row r="627" ht="15">
      <c r="C627" s="533"/>
    </row>
    <row r="628" ht="15">
      <c r="C628" s="533"/>
    </row>
    <row r="629" ht="15">
      <c r="C629" s="533"/>
    </row>
    <row r="630" ht="15">
      <c r="C630" s="533"/>
    </row>
    <row r="631" ht="15">
      <c r="C631" s="533"/>
    </row>
    <row r="632" ht="15">
      <c r="C632" s="533"/>
    </row>
    <row r="633" ht="15">
      <c r="C633" s="533"/>
    </row>
    <row r="634" ht="15">
      <c r="C634" s="533"/>
    </row>
    <row r="635" ht="15">
      <c r="C635" s="533"/>
    </row>
    <row r="636" ht="15">
      <c r="C636" s="533"/>
    </row>
    <row r="637" ht="15">
      <c r="C637" s="533"/>
    </row>
    <row r="638" ht="15">
      <c r="C638" s="533"/>
    </row>
    <row r="639" ht="15">
      <c r="C639" s="533"/>
    </row>
    <row r="640" ht="15">
      <c r="C640" s="533"/>
    </row>
    <row r="641" ht="15">
      <c r="C641" s="533"/>
    </row>
    <row r="642" ht="15">
      <c r="C642" s="533"/>
    </row>
    <row r="643" ht="15">
      <c r="C643" s="533"/>
    </row>
    <row r="644" ht="15">
      <c r="C644" s="533"/>
    </row>
    <row r="645" ht="15">
      <c r="C645" s="533"/>
    </row>
    <row r="646" ht="15">
      <c r="C646" s="533"/>
    </row>
    <row r="647" ht="15">
      <c r="C647" s="533"/>
    </row>
    <row r="648" ht="15">
      <c r="C648" s="533"/>
    </row>
    <row r="649" ht="15">
      <c r="C649" s="533"/>
    </row>
    <row r="650" ht="15">
      <c r="C650" s="533"/>
    </row>
    <row r="651" ht="15">
      <c r="C651" s="533"/>
    </row>
    <row r="652" ht="15">
      <c r="C652" s="533"/>
    </row>
    <row r="653" ht="15">
      <c r="C653" s="533"/>
    </row>
    <row r="654" ht="15">
      <c r="C654" s="533"/>
    </row>
    <row r="655" ht="15">
      <c r="C655" s="533"/>
    </row>
    <row r="656" ht="15">
      <c r="C656" s="533"/>
    </row>
    <row r="657" ht="15">
      <c r="C657" s="533"/>
    </row>
    <row r="658" ht="15">
      <c r="C658" s="533"/>
    </row>
    <row r="659" ht="15">
      <c r="C659" s="533"/>
    </row>
    <row r="660" ht="15">
      <c r="C660" s="533"/>
    </row>
    <row r="661" ht="15">
      <c r="C661" s="533"/>
    </row>
    <row r="662" ht="15">
      <c r="C662" s="533"/>
    </row>
    <row r="663" ht="15">
      <c r="C663" s="533"/>
    </row>
    <row r="664" ht="15">
      <c r="C664" s="533"/>
    </row>
    <row r="665" ht="15">
      <c r="C665" s="533"/>
    </row>
    <row r="666" ht="15">
      <c r="C666" s="533"/>
    </row>
    <row r="667" ht="15">
      <c r="C667" s="533"/>
    </row>
    <row r="668" ht="15">
      <c r="C668" s="533"/>
    </row>
    <row r="669" ht="15">
      <c r="C669" s="533"/>
    </row>
    <row r="670" ht="15">
      <c r="C670" s="533"/>
    </row>
    <row r="671" ht="15">
      <c r="C671" s="533"/>
    </row>
    <row r="672" ht="15">
      <c r="C672" s="533"/>
    </row>
    <row r="673" ht="15">
      <c r="C673" s="533"/>
    </row>
    <row r="674" ht="15">
      <c r="C674" s="533"/>
    </row>
    <row r="675" ht="15">
      <c r="C675" s="533"/>
    </row>
    <row r="676" ht="15">
      <c r="C676" s="533"/>
    </row>
    <row r="677" ht="15">
      <c r="C677" s="533"/>
    </row>
    <row r="678" ht="15">
      <c r="C678" s="533"/>
    </row>
    <row r="679" ht="15">
      <c r="C679" s="533"/>
    </row>
    <row r="680" ht="15">
      <c r="C680" s="533"/>
    </row>
    <row r="681" ht="15">
      <c r="C681" s="533"/>
    </row>
    <row r="682" ht="15">
      <c r="C682" s="533"/>
    </row>
    <row r="683" ht="15">
      <c r="C683" s="533"/>
    </row>
    <row r="684" ht="15">
      <c r="C684" s="533"/>
    </row>
    <row r="685" ht="15">
      <c r="C685" s="533"/>
    </row>
    <row r="686" ht="15">
      <c r="C686" s="533"/>
    </row>
    <row r="687" ht="15">
      <c r="C687" s="533"/>
    </row>
    <row r="688" ht="15">
      <c r="C688" s="533"/>
    </row>
    <row r="689" ht="15">
      <c r="C689" s="533"/>
    </row>
    <row r="690" ht="15">
      <c r="C690" s="533"/>
    </row>
    <row r="691" ht="15">
      <c r="C691" s="533"/>
    </row>
    <row r="692" ht="15">
      <c r="C692" s="533"/>
    </row>
    <row r="693" ht="15">
      <c r="C693" s="533"/>
    </row>
    <row r="694" ht="15">
      <c r="C694" s="533"/>
    </row>
    <row r="695" ht="15">
      <c r="C695" s="533"/>
    </row>
    <row r="696" ht="15">
      <c r="C696" s="533"/>
    </row>
    <row r="697" ht="15">
      <c r="C697" s="533"/>
    </row>
    <row r="698" ht="15">
      <c r="C698" s="533"/>
    </row>
    <row r="699" ht="15">
      <c r="C699" s="533"/>
    </row>
    <row r="700" ht="15">
      <c r="C700" s="533"/>
    </row>
    <row r="701" ht="15">
      <c r="C701" s="533"/>
    </row>
    <row r="702" ht="15">
      <c r="C702" s="533"/>
    </row>
    <row r="703" ht="15">
      <c r="C703" s="533"/>
    </row>
    <row r="704" ht="15">
      <c r="C704" s="533"/>
    </row>
    <row r="705" ht="15">
      <c r="C705" s="533"/>
    </row>
    <row r="706" ht="15">
      <c r="C706" s="533"/>
    </row>
    <row r="707" ht="15">
      <c r="C707" s="533"/>
    </row>
    <row r="708" ht="15">
      <c r="C708" s="533"/>
    </row>
    <row r="709" ht="15">
      <c r="C709" s="533"/>
    </row>
    <row r="710" ht="15">
      <c r="C710" s="533"/>
    </row>
    <row r="711" ht="15">
      <c r="C711" s="533"/>
    </row>
    <row r="712" ht="15">
      <c r="C712" s="533"/>
    </row>
    <row r="713" ht="15">
      <c r="C713" s="533"/>
    </row>
    <row r="714" ht="15">
      <c r="C714" s="533"/>
    </row>
    <row r="715" ht="15">
      <c r="C715" s="533"/>
    </row>
    <row r="716" ht="15">
      <c r="C716" s="533"/>
    </row>
    <row r="717" ht="15">
      <c r="C717" s="533"/>
    </row>
    <row r="718" ht="15">
      <c r="C718" s="533"/>
    </row>
    <row r="719" ht="15">
      <c r="C719" s="533"/>
    </row>
    <row r="720" ht="15">
      <c r="C720" s="533"/>
    </row>
    <row r="721" ht="15">
      <c r="C721" s="533"/>
    </row>
    <row r="722" ht="15">
      <c r="C722" s="533"/>
    </row>
    <row r="723" ht="15">
      <c r="C723" s="533"/>
    </row>
    <row r="724" ht="15">
      <c r="C724" s="533"/>
    </row>
    <row r="725" ht="15">
      <c r="C725" s="533"/>
    </row>
    <row r="726" ht="15">
      <c r="C726" s="533"/>
    </row>
    <row r="727" ht="15">
      <c r="C727" s="533"/>
    </row>
    <row r="728" ht="15">
      <c r="C728" s="533"/>
    </row>
    <row r="729" ht="15">
      <c r="C729" s="533"/>
    </row>
    <row r="730" ht="15">
      <c r="C730" s="533"/>
    </row>
    <row r="731" ht="15">
      <c r="C731" s="533"/>
    </row>
    <row r="732" ht="15">
      <c r="C732" s="533"/>
    </row>
    <row r="733" ht="15">
      <c r="C733" s="533"/>
    </row>
    <row r="734" ht="15">
      <c r="C734" s="533"/>
    </row>
    <row r="735" ht="15">
      <c r="C735" s="533"/>
    </row>
    <row r="736" ht="15">
      <c r="C736" s="533"/>
    </row>
    <row r="737" ht="15">
      <c r="C737" s="533"/>
    </row>
    <row r="738" ht="15">
      <c r="C738" s="533"/>
    </row>
    <row r="739" ht="15">
      <c r="C739" s="533"/>
    </row>
    <row r="740" ht="15">
      <c r="C740" s="533"/>
    </row>
    <row r="741" ht="15">
      <c r="C741" s="533"/>
    </row>
    <row r="742" ht="15">
      <c r="C742" s="533"/>
    </row>
    <row r="743" ht="15">
      <c r="C743" s="533"/>
    </row>
    <row r="744" ht="15">
      <c r="C744" s="533"/>
    </row>
    <row r="745" ht="15">
      <c r="C745" s="533"/>
    </row>
    <row r="746" ht="15">
      <c r="C746" s="533"/>
    </row>
    <row r="747" ht="15">
      <c r="C747" s="533"/>
    </row>
    <row r="748" ht="15">
      <c r="C748" s="533"/>
    </row>
    <row r="749" ht="15">
      <c r="C749" s="533"/>
    </row>
    <row r="750" ht="15">
      <c r="C750" s="533"/>
    </row>
    <row r="751" ht="15">
      <c r="C751" s="533"/>
    </row>
    <row r="752" ht="15">
      <c r="C752" s="533"/>
    </row>
    <row r="753" ht="15">
      <c r="C753" s="533"/>
    </row>
    <row r="754" ht="15">
      <c r="C754" s="533"/>
    </row>
    <row r="755" ht="15">
      <c r="C755" s="533"/>
    </row>
    <row r="756" ht="15">
      <c r="C756" s="533"/>
    </row>
    <row r="757" ht="15">
      <c r="C757" s="533"/>
    </row>
    <row r="758" ht="15">
      <c r="C758" s="533"/>
    </row>
    <row r="759" ht="15">
      <c r="C759" s="533"/>
    </row>
    <row r="760" ht="15">
      <c r="C760" s="533"/>
    </row>
    <row r="761" ht="15">
      <c r="C761" s="533"/>
    </row>
    <row r="762" ht="15">
      <c r="C762" s="533"/>
    </row>
    <row r="763" ht="15">
      <c r="C763" s="533"/>
    </row>
    <row r="764" ht="15">
      <c r="C764" s="533"/>
    </row>
    <row r="765" ht="15">
      <c r="C765" s="533"/>
    </row>
    <row r="766" ht="15">
      <c r="C766" s="533"/>
    </row>
    <row r="767" ht="15">
      <c r="C767" s="533"/>
    </row>
    <row r="768" ht="15">
      <c r="C768" s="533"/>
    </row>
    <row r="769" ht="15">
      <c r="C769" s="533"/>
    </row>
    <row r="770" ht="15">
      <c r="C770" s="533"/>
    </row>
    <row r="771" ht="15">
      <c r="C771" s="533"/>
    </row>
    <row r="772" ht="15">
      <c r="C772" s="533"/>
    </row>
    <row r="773" ht="15">
      <c r="C773" s="533"/>
    </row>
    <row r="774" ht="15">
      <c r="C774" s="533"/>
    </row>
    <row r="775" ht="15">
      <c r="C775" s="533"/>
    </row>
    <row r="776" ht="15">
      <c r="C776" s="533"/>
    </row>
    <row r="777" ht="15">
      <c r="C777" s="533"/>
    </row>
    <row r="778" ht="15">
      <c r="C778" s="533"/>
    </row>
    <row r="779" ht="15">
      <c r="C779" s="533"/>
    </row>
    <row r="780" ht="15">
      <c r="C780" s="533"/>
    </row>
    <row r="781" ht="15">
      <c r="C781" s="533"/>
    </row>
    <row r="782" ht="15">
      <c r="C782" s="533"/>
    </row>
    <row r="783" ht="15">
      <c r="C783" s="533"/>
    </row>
    <row r="784" ht="15">
      <c r="C784" s="533"/>
    </row>
    <row r="785" ht="15">
      <c r="C785" s="533"/>
    </row>
    <row r="786" ht="15">
      <c r="C786" s="533"/>
    </row>
    <row r="787" ht="15">
      <c r="C787" s="533"/>
    </row>
    <row r="788" ht="15">
      <c r="C788" s="533"/>
    </row>
    <row r="789" ht="15">
      <c r="C789" s="533"/>
    </row>
    <row r="790" ht="15">
      <c r="C790" s="533"/>
    </row>
    <row r="791" ht="15">
      <c r="C791" s="533"/>
    </row>
    <row r="792" ht="15">
      <c r="C792" s="533"/>
    </row>
    <row r="793" ht="15">
      <c r="C793" s="533"/>
    </row>
    <row r="794" ht="15">
      <c r="C794" s="533"/>
    </row>
    <row r="795" ht="15">
      <c r="C795" s="533"/>
    </row>
    <row r="796" ht="15">
      <c r="C796" s="533"/>
    </row>
    <row r="797" ht="15">
      <c r="C797" s="533"/>
    </row>
    <row r="798" ht="15">
      <c r="C798" s="533"/>
    </row>
    <row r="799" ht="15">
      <c r="C799" s="533"/>
    </row>
    <row r="800" ht="15">
      <c r="C800" s="533"/>
    </row>
    <row r="801" ht="15">
      <c r="C801" s="533"/>
    </row>
    <row r="802" ht="15">
      <c r="C802" s="533"/>
    </row>
    <row r="803" ht="15">
      <c r="C803" s="533"/>
    </row>
    <row r="804" ht="15">
      <c r="C804" s="533"/>
    </row>
    <row r="805" ht="15">
      <c r="C805" s="533"/>
    </row>
    <row r="806" ht="15">
      <c r="C806" s="533"/>
    </row>
    <row r="807" ht="15">
      <c r="C807" s="533"/>
    </row>
    <row r="808" ht="15">
      <c r="C808" s="533"/>
    </row>
    <row r="809" ht="15">
      <c r="C809" s="533"/>
    </row>
    <row r="810" ht="15">
      <c r="C810" s="533"/>
    </row>
    <row r="811" ht="15">
      <c r="C811" s="533"/>
    </row>
    <row r="812" ht="15">
      <c r="C812" s="533"/>
    </row>
    <row r="813" ht="15">
      <c r="C813" s="533"/>
    </row>
    <row r="814" ht="15">
      <c r="C814" s="533"/>
    </row>
    <row r="815" ht="15">
      <c r="C815" s="533"/>
    </row>
    <row r="816" ht="15">
      <c r="C816" s="533"/>
    </row>
    <row r="817" ht="15">
      <c r="C817" s="533"/>
    </row>
    <row r="818" ht="15">
      <c r="C818" s="533"/>
    </row>
    <row r="819" ht="15">
      <c r="C819" s="533"/>
    </row>
    <row r="820" ht="15">
      <c r="C820" s="533"/>
    </row>
    <row r="821" ht="15">
      <c r="C821" s="533"/>
    </row>
    <row r="822" ht="15">
      <c r="C822" s="533"/>
    </row>
    <row r="823" ht="15">
      <c r="C823" s="533"/>
    </row>
    <row r="824" ht="15">
      <c r="C824" s="533"/>
    </row>
    <row r="825" ht="15">
      <c r="C825" s="533"/>
    </row>
    <row r="826" ht="15">
      <c r="C826" s="533"/>
    </row>
    <row r="827" ht="15">
      <c r="C827" s="533"/>
    </row>
    <row r="828" ht="15">
      <c r="C828" s="533"/>
    </row>
    <row r="829" ht="15">
      <c r="C829" s="533"/>
    </row>
    <row r="830" ht="15">
      <c r="C830" s="533"/>
    </row>
    <row r="831" ht="15">
      <c r="C831" s="533"/>
    </row>
    <row r="832" ht="15">
      <c r="C832" s="533"/>
    </row>
    <row r="833" ht="15">
      <c r="C833" s="533"/>
    </row>
    <row r="834" ht="15">
      <c r="C834" s="533"/>
    </row>
    <row r="835" ht="15">
      <c r="C835" s="533"/>
    </row>
    <row r="836" ht="15">
      <c r="C836" s="533"/>
    </row>
    <row r="837" ht="15">
      <c r="C837" s="533"/>
    </row>
    <row r="838" ht="15">
      <c r="C838" s="533"/>
    </row>
    <row r="839" ht="15">
      <c r="C839" s="533"/>
    </row>
    <row r="840" ht="15">
      <c r="C840" s="533"/>
    </row>
    <row r="841" ht="15">
      <c r="C841" s="533"/>
    </row>
    <row r="842" ht="15">
      <c r="C842" s="533"/>
    </row>
    <row r="843" ht="15">
      <c r="C843" s="533"/>
    </row>
    <row r="844" ht="15">
      <c r="C844" s="533"/>
    </row>
    <row r="845" ht="15">
      <c r="C845" s="533"/>
    </row>
    <row r="846" ht="15">
      <c r="C846" s="533"/>
    </row>
    <row r="847" ht="15">
      <c r="C847" s="533"/>
    </row>
    <row r="848" ht="15">
      <c r="C848" s="533"/>
    </row>
    <row r="849" ht="15">
      <c r="C849" s="533"/>
    </row>
    <row r="850" ht="15">
      <c r="C850" s="533"/>
    </row>
    <row r="851" ht="15">
      <c r="C851" s="533"/>
    </row>
    <row r="852" ht="15">
      <c r="C852" s="533"/>
    </row>
    <row r="853" ht="15">
      <c r="C853" s="533"/>
    </row>
    <row r="854" ht="15">
      <c r="C854" s="533"/>
    </row>
    <row r="855" ht="15">
      <c r="C855" s="533"/>
    </row>
    <row r="856" ht="15">
      <c r="C856" s="533"/>
    </row>
    <row r="857" ht="15">
      <c r="C857" s="533"/>
    </row>
    <row r="858" ht="15">
      <c r="C858" s="533"/>
    </row>
    <row r="859" ht="15">
      <c r="C859" s="533"/>
    </row>
    <row r="860" ht="15">
      <c r="C860" s="533"/>
    </row>
    <row r="861" ht="15">
      <c r="C861" s="533"/>
    </row>
    <row r="862" ht="15">
      <c r="C862" s="533"/>
    </row>
    <row r="863" ht="15">
      <c r="C863" s="533"/>
    </row>
    <row r="864" ht="15">
      <c r="C864" s="533"/>
    </row>
    <row r="865" ht="15">
      <c r="C865" s="533"/>
    </row>
    <row r="866" ht="15">
      <c r="C866" s="533"/>
    </row>
    <row r="867" ht="15">
      <c r="C867" s="533"/>
    </row>
    <row r="868" ht="15">
      <c r="C868" s="533"/>
    </row>
    <row r="869" ht="15">
      <c r="C869" s="533"/>
    </row>
    <row r="870" ht="15">
      <c r="C870" s="533"/>
    </row>
    <row r="871" ht="15">
      <c r="C871" s="533"/>
    </row>
    <row r="872" ht="15">
      <c r="C872" s="533"/>
    </row>
    <row r="873" ht="15">
      <c r="C873" s="533"/>
    </row>
    <row r="874" ht="15">
      <c r="C874" s="533"/>
    </row>
    <row r="875" ht="15">
      <c r="C875" s="533"/>
    </row>
    <row r="876" ht="15">
      <c r="C876" s="533"/>
    </row>
    <row r="877" ht="15">
      <c r="C877" s="533"/>
    </row>
    <row r="878" ht="15">
      <c r="C878" s="533"/>
    </row>
    <row r="879" ht="15">
      <c r="C879" s="533"/>
    </row>
    <row r="880" ht="15">
      <c r="C880" s="533"/>
    </row>
    <row r="881" ht="15">
      <c r="C881" s="533"/>
    </row>
    <row r="882" ht="15">
      <c r="C882" s="533"/>
    </row>
    <row r="883" ht="15">
      <c r="C883" s="533"/>
    </row>
    <row r="884" ht="15">
      <c r="C884" s="533"/>
    </row>
    <row r="885" ht="15">
      <c r="C885" s="533"/>
    </row>
    <row r="886" ht="15">
      <c r="C886" s="533"/>
    </row>
    <row r="887" ht="15">
      <c r="C887" s="533"/>
    </row>
    <row r="888" ht="15">
      <c r="C888" s="533"/>
    </row>
    <row r="889" ht="15">
      <c r="C889" s="533"/>
    </row>
    <row r="890" ht="15">
      <c r="C890" s="533"/>
    </row>
    <row r="891" ht="15">
      <c r="C891" s="533"/>
    </row>
    <row r="892" ht="15">
      <c r="C892" s="533"/>
    </row>
    <row r="893" ht="15">
      <c r="C893" s="533"/>
    </row>
    <row r="894" ht="15">
      <c r="C894" s="533"/>
    </row>
    <row r="895" ht="15">
      <c r="C895" s="533"/>
    </row>
    <row r="896" ht="15">
      <c r="C896" s="533"/>
    </row>
    <row r="897" ht="15">
      <c r="C897" s="533"/>
    </row>
    <row r="898" ht="15">
      <c r="C898" s="533"/>
    </row>
    <row r="899" ht="15">
      <c r="C899" s="533"/>
    </row>
    <row r="900" ht="15">
      <c r="C900" s="533"/>
    </row>
    <row r="901" ht="15">
      <c r="C901" s="533"/>
    </row>
    <row r="902" ht="15">
      <c r="C902" s="533"/>
    </row>
    <row r="903" ht="15">
      <c r="C903" s="533"/>
    </row>
    <row r="904" ht="15">
      <c r="C904" s="533"/>
    </row>
    <row r="905" ht="15">
      <c r="C905" s="533"/>
    </row>
    <row r="906" ht="15">
      <c r="C906" s="533"/>
    </row>
    <row r="907" ht="15">
      <c r="C907" s="533"/>
    </row>
    <row r="908" ht="15">
      <c r="C908" s="533"/>
    </row>
    <row r="909" ht="15">
      <c r="C909" s="533"/>
    </row>
    <row r="910" ht="15">
      <c r="C910" s="533"/>
    </row>
    <row r="911" ht="15">
      <c r="C911" s="533"/>
    </row>
    <row r="912" ht="15">
      <c r="C912" s="533"/>
    </row>
    <row r="913" ht="15">
      <c r="C913" s="533"/>
    </row>
    <row r="914" ht="15">
      <c r="C914" s="533"/>
    </row>
    <row r="915" ht="15">
      <c r="C915" s="533"/>
    </row>
    <row r="916" ht="15">
      <c r="C916" s="533"/>
    </row>
    <row r="917" ht="15">
      <c r="C917" s="533"/>
    </row>
    <row r="918" ht="15">
      <c r="C918" s="533"/>
    </row>
    <row r="919" ht="15">
      <c r="C919" s="533"/>
    </row>
    <row r="920" ht="15">
      <c r="C920" s="533"/>
    </row>
    <row r="921" ht="15">
      <c r="C921" s="533"/>
    </row>
    <row r="922" ht="15">
      <c r="C922" s="533"/>
    </row>
    <row r="923" ht="15">
      <c r="C923" s="533"/>
    </row>
    <row r="924" ht="15">
      <c r="C924" s="533"/>
    </row>
    <row r="925" ht="15">
      <c r="C925" s="533"/>
    </row>
    <row r="926" ht="15">
      <c r="C926" s="533"/>
    </row>
    <row r="927" ht="15">
      <c r="C927" s="533"/>
    </row>
    <row r="928" ht="15">
      <c r="C928" s="533"/>
    </row>
    <row r="929" ht="15">
      <c r="C929" s="533"/>
    </row>
    <row r="930" ht="15">
      <c r="C930" s="533"/>
    </row>
    <row r="931" ht="15">
      <c r="C931" s="533"/>
    </row>
    <row r="932" ht="15">
      <c r="C932" s="533"/>
    </row>
    <row r="933" ht="15">
      <c r="C933" s="533"/>
    </row>
    <row r="934" ht="15">
      <c r="C934" s="533"/>
    </row>
    <row r="935" ht="15">
      <c r="C935" s="533"/>
    </row>
    <row r="936" ht="15">
      <c r="C936" s="533"/>
    </row>
    <row r="937" ht="15">
      <c r="C937" s="533"/>
    </row>
    <row r="938" ht="15">
      <c r="C938" s="533"/>
    </row>
    <row r="939" ht="15">
      <c r="C939" s="533"/>
    </row>
    <row r="940" ht="15">
      <c r="C940" s="533"/>
    </row>
    <row r="941" ht="15">
      <c r="C941" s="533"/>
    </row>
    <row r="942" ht="15">
      <c r="C942" s="533"/>
    </row>
    <row r="943" ht="15">
      <c r="C943" s="533"/>
    </row>
    <row r="944" ht="15">
      <c r="C944" s="533"/>
    </row>
    <row r="945" ht="15">
      <c r="C945" s="533"/>
    </row>
    <row r="946" ht="15">
      <c r="C946" s="533"/>
    </row>
    <row r="947" ht="15">
      <c r="C947" s="533"/>
    </row>
    <row r="948" ht="15">
      <c r="C948" s="533"/>
    </row>
    <row r="949" ht="15">
      <c r="C949" s="533"/>
    </row>
    <row r="950" ht="15">
      <c r="C950" s="533"/>
    </row>
    <row r="951" ht="15">
      <c r="C951" s="533"/>
    </row>
    <row r="952" ht="15">
      <c r="C952" s="533"/>
    </row>
    <row r="953" ht="15">
      <c r="C953" s="533"/>
    </row>
    <row r="954" ht="15">
      <c r="C954" s="533"/>
    </row>
    <row r="955" ht="15">
      <c r="C955" s="533"/>
    </row>
    <row r="956" ht="15">
      <c r="C956" s="533"/>
    </row>
    <row r="957" ht="15">
      <c r="C957" s="533"/>
    </row>
    <row r="958" ht="15">
      <c r="C958" s="533"/>
    </row>
    <row r="959" ht="15">
      <c r="C959" s="533"/>
    </row>
    <row r="960" ht="15">
      <c r="C960" s="533"/>
    </row>
    <row r="961" ht="15">
      <c r="C961" s="533"/>
    </row>
    <row r="962" ht="15">
      <c r="C962" s="533"/>
    </row>
    <row r="963" ht="15">
      <c r="C963" s="533"/>
    </row>
    <row r="964" ht="15">
      <c r="C964" s="533"/>
    </row>
    <row r="965" ht="15">
      <c r="C965" s="533"/>
    </row>
    <row r="966" ht="15">
      <c r="C966" s="533"/>
    </row>
    <row r="967" ht="15">
      <c r="C967" s="533"/>
    </row>
    <row r="968" ht="15">
      <c r="C968" s="533"/>
    </row>
    <row r="969" ht="15">
      <c r="C969" s="533"/>
    </row>
    <row r="970" ht="15">
      <c r="C970" s="533"/>
    </row>
    <row r="971" ht="15">
      <c r="C971" s="533"/>
    </row>
    <row r="972" ht="15">
      <c r="C972" s="533"/>
    </row>
    <row r="973" ht="15">
      <c r="C973" s="533"/>
    </row>
    <row r="974" ht="15">
      <c r="C974" s="533"/>
    </row>
    <row r="975" ht="15">
      <c r="C975" s="533"/>
    </row>
    <row r="976" ht="15">
      <c r="C976" s="533"/>
    </row>
    <row r="977" ht="15">
      <c r="C977" s="533"/>
    </row>
    <row r="978" ht="15">
      <c r="C978" s="533"/>
    </row>
    <row r="979" ht="15">
      <c r="C979" s="533"/>
    </row>
    <row r="980" ht="15">
      <c r="C980" s="533"/>
    </row>
    <row r="981" ht="15">
      <c r="C981" s="533"/>
    </row>
    <row r="982" ht="15">
      <c r="C982" s="533"/>
    </row>
    <row r="983" ht="15">
      <c r="C983" s="533"/>
    </row>
    <row r="984" ht="15">
      <c r="C984" s="533"/>
    </row>
    <row r="985" ht="15">
      <c r="C985" s="533"/>
    </row>
    <row r="986" ht="15">
      <c r="C986" s="533"/>
    </row>
    <row r="987" ht="15">
      <c r="C987" s="533"/>
    </row>
    <row r="988" ht="15">
      <c r="C988" s="533"/>
    </row>
    <row r="989" ht="15">
      <c r="C989" s="533"/>
    </row>
    <row r="990" ht="15">
      <c r="C990" s="533"/>
    </row>
    <row r="991" ht="15">
      <c r="C991" s="533"/>
    </row>
    <row r="992" ht="15">
      <c r="C992" s="533"/>
    </row>
    <row r="993" ht="15">
      <c r="C993" s="533"/>
    </row>
    <row r="994" ht="15">
      <c r="C994" s="533"/>
    </row>
    <row r="995" ht="15">
      <c r="C995" s="533"/>
    </row>
    <row r="996" ht="15">
      <c r="C996" s="533"/>
    </row>
    <row r="997" ht="15">
      <c r="C997" s="533"/>
    </row>
    <row r="998" ht="15">
      <c r="C998" s="533"/>
    </row>
    <row r="999" ht="15">
      <c r="C999" s="533"/>
    </row>
    <row r="1000" ht="15">
      <c r="C1000" s="533"/>
    </row>
    <row r="1001" ht="15">
      <c r="C1001" s="533"/>
    </row>
    <row r="1002" ht="15">
      <c r="C1002" s="533"/>
    </row>
    <row r="1003" ht="15">
      <c r="C1003" s="533"/>
    </row>
    <row r="1004" ht="15">
      <c r="C1004" s="533"/>
    </row>
    <row r="1005" ht="15">
      <c r="C1005" s="533"/>
    </row>
    <row r="1006" ht="15">
      <c r="C1006" s="533"/>
    </row>
    <row r="1007" ht="15">
      <c r="C1007" s="533"/>
    </row>
    <row r="1008" ht="15">
      <c r="C1008" s="533"/>
    </row>
    <row r="1009" ht="15">
      <c r="C1009" s="533"/>
    </row>
    <row r="1010" ht="15">
      <c r="C1010" s="533"/>
    </row>
    <row r="1011" ht="15">
      <c r="C1011" s="533"/>
    </row>
    <row r="1012" ht="15">
      <c r="C1012" s="533"/>
    </row>
    <row r="1013" ht="15">
      <c r="C1013" s="533"/>
    </row>
    <row r="1014" ht="15">
      <c r="C1014" s="533"/>
    </row>
    <row r="1015" ht="15">
      <c r="C1015" s="533"/>
    </row>
    <row r="1016" ht="15">
      <c r="C1016" s="533"/>
    </row>
    <row r="1017" ht="15">
      <c r="C1017" s="533"/>
    </row>
    <row r="1018" ht="15">
      <c r="C1018" s="533"/>
    </row>
    <row r="1019" ht="15">
      <c r="C1019" s="533"/>
    </row>
    <row r="1020" ht="15">
      <c r="C1020" s="533"/>
    </row>
    <row r="1021" ht="15">
      <c r="C1021" s="533"/>
    </row>
    <row r="1022" ht="15">
      <c r="C1022" s="533"/>
    </row>
    <row r="1023" ht="15">
      <c r="C1023" s="533"/>
    </row>
    <row r="1024" ht="15">
      <c r="C1024" s="533"/>
    </row>
    <row r="1025" ht="15">
      <c r="C1025" s="533"/>
    </row>
    <row r="1026" ht="15">
      <c r="C1026" s="533"/>
    </row>
    <row r="1027" ht="15">
      <c r="C1027" s="533"/>
    </row>
    <row r="1028" ht="15">
      <c r="C1028" s="533"/>
    </row>
    <row r="1029" ht="15">
      <c r="C1029" s="533"/>
    </row>
    <row r="1030" ht="15">
      <c r="C1030" s="533"/>
    </row>
    <row r="1031" ht="15">
      <c r="C1031" s="533"/>
    </row>
    <row r="1032" ht="15">
      <c r="C1032" s="533"/>
    </row>
    <row r="1033" ht="15">
      <c r="C1033" s="533"/>
    </row>
    <row r="1034" ht="15">
      <c r="C1034" s="533"/>
    </row>
    <row r="1035" ht="15">
      <c r="C1035" s="533"/>
    </row>
    <row r="1036" ht="15">
      <c r="C1036" s="533"/>
    </row>
    <row r="1037" ht="15">
      <c r="C1037" s="533"/>
    </row>
    <row r="1038" ht="15">
      <c r="C1038" s="533"/>
    </row>
    <row r="1039" ht="15">
      <c r="C1039" s="533"/>
    </row>
    <row r="1040" ht="15">
      <c r="C1040" s="533"/>
    </row>
    <row r="1041" ht="15">
      <c r="C1041" s="533"/>
    </row>
    <row r="1042" ht="15">
      <c r="C1042" s="533"/>
    </row>
    <row r="1043" ht="15">
      <c r="C1043" s="533"/>
    </row>
    <row r="1044" ht="15">
      <c r="C1044" s="533"/>
    </row>
    <row r="1045" ht="15">
      <c r="C1045" s="533"/>
    </row>
    <row r="1046" ht="15">
      <c r="C1046" s="533"/>
    </row>
    <row r="1047" ht="15">
      <c r="C1047" s="533"/>
    </row>
    <row r="1048" ht="15">
      <c r="C1048" s="533"/>
    </row>
    <row r="1049" ht="15">
      <c r="C1049" s="533"/>
    </row>
    <row r="1050" ht="15">
      <c r="C1050" s="533"/>
    </row>
    <row r="1051" ht="15">
      <c r="C1051" s="533"/>
    </row>
    <row r="1052" ht="15">
      <c r="C1052" s="533"/>
    </row>
    <row r="1053" ht="15">
      <c r="C1053" s="533"/>
    </row>
    <row r="1054" ht="15">
      <c r="C1054" s="533"/>
    </row>
    <row r="1055" ht="15">
      <c r="C1055" s="533"/>
    </row>
    <row r="1056" ht="15">
      <c r="C1056" s="533"/>
    </row>
    <row r="1057" ht="15">
      <c r="C1057" s="533"/>
    </row>
    <row r="1058" ht="15">
      <c r="C1058" s="533"/>
    </row>
    <row r="1059" ht="15">
      <c r="C1059" s="533"/>
    </row>
    <row r="1060" ht="15">
      <c r="C1060" s="533"/>
    </row>
    <row r="1061" ht="15">
      <c r="C1061" s="533"/>
    </row>
    <row r="1062" ht="15">
      <c r="C1062" s="533"/>
    </row>
    <row r="1063" ht="15">
      <c r="C1063" s="533"/>
    </row>
    <row r="1064" ht="15">
      <c r="C1064" s="533"/>
    </row>
    <row r="1065" ht="15">
      <c r="C1065" s="533"/>
    </row>
    <row r="1066" ht="15">
      <c r="C1066" s="533"/>
    </row>
    <row r="1067" ht="15">
      <c r="C1067" s="533"/>
    </row>
    <row r="1068" ht="15">
      <c r="C1068" s="533"/>
    </row>
    <row r="1069" ht="15">
      <c r="C1069" s="533"/>
    </row>
    <row r="1070" ht="15">
      <c r="C1070" s="533"/>
    </row>
    <row r="1071" ht="15">
      <c r="C1071" s="533"/>
    </row>
    <row r="1072" ht="15">
      <c r="C1072" s="533"/>
    </row>
    <row r="1073" ht="15">
      <c r="C1073" s="533"/>
    </row>
    <row r="1074" ht="15">
      <c r="C1074" s="533"/>
    </row>
    <row r="1075" ht="15">
      <c r="C1075" s="533"/>
    </row>
    <row r="1076" ht="15">
      <c r="C1076" s="533"/>
    </row>
    <row r="1077" ht="15">
      <c r="C1077" s="533"/>
    </row>
    <row r="1078" ht="15">
      <c r="C1078" s="533"/>
    </row>
    <row r="1079" ht="15">
      <c r="C1079" s="533"/>
    </row>
    <row r="1080" ht="15">
      <c r="C1080" s="533"/>
    </row>
    <row r="1081" ht="15">
      <c r="C1081" s="533"/>
    </row>
    <row r="1082" ht="15">
      <c r="C1082" s="533"/>
    </row>
    <row r="1083" ht="15">
      <c r="C1083" s="533"/>
    </row>
    <row r="1084" ht="15">
      <c r="C1084" s="533"/>
    </row>
    <row r="1085" ht="15">
      <c r="C1085" s="533"/>
    </row>
    <row r="1086" ht="15">
      <c r="C1086" s="533"/>
    </row>
    <row r="1087" ht="15">
      <c r="C1087" s="533"/>
    </row>
    <row r="1088" ht="15">
      <c r="C1088" s="533"/>
    </row>
    <row r="1089" ht="15">
      <c r="C1089" s="533"/>
    </row>
    <row r="1090" ht="15">
      <c r="C1090" s="533"/>
    </row>
    <row r="1091" ht="15">
      <c r="C1091" s="533"/>
    </row>
    <row r="1092" ht="15">
      <c r="C1092" s="533"/>
    </row>
    <row r="1093" ht="15">
      <c r="C1093" s="533"/>
    </row>
    <row r="1094" ht="15">
      <c r="C1094" s="533"/>
    </row>
    <row r="1095" ht="15">
      <c r="C1095" s="533"/>
    </row>
    <row r="1096" ht="15">
      <c r="C1096" s="533"/>
    </row>
    <row r="1097" ht="15">
      <c r="C1097" s="533"/>
    </row>
    <row r="1098" ht="15">
      <c r="C1098" s="533"/>
    </row>
    <row r="1099" ht="15">
      <c r="C1099" s="533"/>
    </row>
    <row r="1100" ht="15">
      <c r="C1100" s="533"/>
    </row>
    <row r="1101" ht="15">
      <c r="C1101" s="533"/>
    </row>
    <row r="1102" ht="15">
      <c r="C1102" s="533"/>
    </row>
    <row r="1103" ht="15">
      <c r="C1103" s="533"/>
    </row>
    <row r="1104" ht="15">
      <c r="C1104" s="533"/>
    </row>
    <row r="1105" ht="15">
      <c r="C1105" s="533"/>
    </row>
    <row r="1106" ht="15">
      <c r="C1106" s="533"/>
    </row>
    <row r="1107" ht="15">
      <c r="C1107" s="533"/>
    </row>
    <row r="1108" ht="15">
      <c r="C1108" s="533"/>
    </row>
    <row r="1109" ht="15">
      <c r="C1109" s="533"/>
    </row>
    <row r="1110" ht="15">
      <c r="C1110" s="533"/>
    </row>
    <row r="1111" ht="15">
      <c r="C1111" s="533"/>
    </row>
    <row r="1112" ht="15">
      <c r="C1112" s="533"/>
    </row>
    <row r="1113" ht="15">
      <c r="C1113" s="533"/>
    </row>
    <row r="1114" ht="15">
      <c r="C1114" s="533"/>
    </row>
    <row r="1115" ht="15">
      <c r="C1115" s="533"/>
    </row>
    <row r="1116" ht="15">
      <c r="C1116" s="533"/>
    </row>
    <row r="1117" ht="15">
      <c r="C1117" s="533"/>
    </row>
    <row r="1118" ht="15">
      <c r="C1118" s="533"/>
    </row>
    <row r="1119" ht="15">
      <c r="C1119" s="533"/>
    </row>
    <row r="1120" ht="15">
      <c r="C1120" s="533"/>
    </row>
    <row r="1121" ht="15">
      <c r="C1121" s="533"/>
    </row>
    <row r="1122" ht="15">
      <c r="C1122" s="533"/>
    </row>
    <row r="1123" ht="15">
      <c r="C1123" s="533"/>
    </row>
    <row r="1124" ht="15">
      <c r="C1124" s="533"/>
    </row>
    <row r="1125" ht="15">
      <c r="C1125" s="533"/>
    </row>
    <row r="1126" ht="15">
      <c r="C1126" s="533"/>
    </row>
    <row r="1127" ht="15">
      <c r="C1127" s="533"/>
    </row>
    <row r="1128" ht="15">
      <c r="C1128" s="533"/>
    </row>
    <row r="1129" ht="15">
      <c r="C1129" s="533"/>
    </row>
    <row r="1130" ht="15">
      <c r="C1130" s="533"/>
    </row>
    <row r="1131" ht="15">
      <c r="C1131" s="533"/>
    </row>
    <row r="1132" ht="15">
      <c r="C1132" s="533"/>
    </row>
    <row r="1133" ht="15">
      <c r="C1133" s="533"/>
    </row>
    <row r="1134" ht="15">
      <c r="C1134" s="533"/>
    </row>
    <row r="1135" ht="15">
      <c r="C1135" s="533"/>
    </row>
    <row r="1136" ht="15">
      <c r="C1136" s="533"/>
    </row>
    <row r="1137" ht="15">
      <c r="C1137" s="533"/>
    </row>
    <row r="1138" ht="15">
      <c r="C1138" s="533"/>
    </row>
    <row r="1139" ht="15">
      <c r="C1139" s="533"/>
    </row>
    <row r="1140" ht="15">
      <c r="C1140" s="533"/>
    </row>
    <row r="1141" ht="15">
      <c r="C1141" s="533"/>
    </row>
    <row r="1142" ht="15">
      <c r="C1142" s="533"/>
    </row>
    <row r="1143" ht="15">
      <c r="C1143" s="533"/>
    </row>
    <row r="1144" ht="15">
      <c r="C1144" s="533"/>
    </row>
    <row r="1145" ht="15">
      <c r="C1145" s="533"/>
    </row>
    <row r="1146" ht="15">
      <c r="C1146" s="533"/>
    </row>
    <row r="1147" ht="15">
      <c r="C1147" s="533"/>
    </row>
    <row r="1148" ht="15">
      <c r="C1148" s="533"/>
    </row>
    <row r="1149" ht="15">
      <c r="C1149" s="533"/>
    </row>
    <row r="1150" ht="15">
      <c r="C1150" s="533"/>
    </row>
    <row r="1151" ht="15">
      <c r="C1151" s="533"/>
    </row>
    <row r="1152" ht="15">
      <c r="C1152" s="533"/>
    </row>
    <row r="1153" ht="15">
      <c r="C1153" s="533"/>
    </row>
    <row r="1154" ht="15">
      <c r="C1154" s="533"/>
    </row>
    <row r="1155" ht="15">
      <c r="C1155" s="533"/>
    </row>
    <row r="1156" ht="15">
      <c r="C1156" s="533"/>
    </row>
    <row r="1157" ht="15">
      <c r="C1157" s="533"/>
    </row>
    <row r="1158" ht="15">
      <c r="C1158" s="533"/>
    </row>
    <row r="1159" ht="15">
      <c r="C1159" s="533"/>
    </row>
    <row r="1160" ht="15">
      <c r="C1160" s="533"/>
    </row>
    <row r="1161" ht="15">
      <c r="C1161" s="533"/>
    </row>
    <row r="1162" ht="15">
      <c r="C1162" s="533"/>
    </row>
    <row r="1163" ht="15">
      <c r="C1163" s="533"/>
    </row>
    <row r="1164" ht="15">
      <c r="C1164" s="533"/>
    </row>
    <row r="1165" ht="15">
      <c r="C1165" s="533"/>
    </row>
    <row r="1166" ht="15">
      <c r="C1166" s="533"/>
    </row>
    <row r="1167" ht="15">
      <c r="C1167" s="533"/>
    </row>
    <row r="1168" ht="15">
      <c r="C1168" s="533"/>
    </row>
    <row r="1169" ht="15">
      <c r="C1169" s="533"/>
    </row>
    <row r="1170" ht="15">
      <c r="C1170" s="533"/>
    </row>
    <row r="1171" ht="15">
      <c r="C1171" s="533"/>
    </row>
    <row r="1172" ht="15">
      <c r="C1172" s="533"/>
    </row>
    <row r="1173" ht="15">
      <c r="C1173" s="533"/>
    </row>
    <row r="1174" ht="15">
      <c r="C1174" s="533"/>
    </row>
    <row r="1175" ht="15">
      <c r="C1175" s="533"/>
    </row>
    <row r="1176" ht="15">
      <c r="C1176" s="533"/>
    </row>
    <row r="1177" ht="15">
      <c r="C1177" s="533"/>
    </row>
    <row r="1178" ht="15">
      <c r="C1178" s="533"/>
    </row>
    <row r="1179" ht="15">
      <c r="C1179" s="533"/>
    </row>
    <row r="1180" ht="15">
      <c r="C1180" s="533"/>
    </row>
    <row r="1181" ht="15">
      <c r="C1181" s="533"/>
    </row>
    <row r="1182" ht="15">
      <c r="C1182" s="533"/>
    </row>
    <row r="1183" ht="15">
      <c r="C1183" s="533"/>
    </row>
    <row r="1184" ht="15">
      <c r="C1184" s="533"/>
    </row>
    <row r="1185" ht="15">
      <c r="C1185" s="533"/>
    </row>
    <row r="1186" ht="15">
      <c r="C1186" s="533"/>
    </row>
    <row r="1187" ht="15">
      <c r="C1187" s="533"/>
    </row>
    <row r="1188" ht="15">
      <c r="C1188" s="533"/>
    </row>
    <row r="1189" ht="15">
      <c r="C1189" s="533"/>
    </row>
    <row r="1190" ht="15">
      <c r="C1190" s="533"/>
    </row>
    <row r="1191" ht="15">
      <c r="C1191" s="533"/>
    </row>
    <row r="1192" ht="15">
      <c r="C1192" s="533"/>
    </row>
    <row r="1193" ht="15">
      <c r="C1193" s="533"/>
    </row>
    <row r="1194" ht="15">
      <c r="C1194" s="533"/>
    </row>
    <row r="1195" ht="15">
      <c r="C1195" s="533"/>
    </row>
    <row r="1196" ht="15">
      <c r="C1196" s="533"/>
    </row>
    <row r="1197" ht="15">
      <c r="C1197" s="533"/>
    </row>
    <row r="1198" ht="15">
      <c r="C1198" s="533"/>
    </row>
    <row r="1199" ht="15">
      <c r="C1199" s="533"/>
    </row>
    <row r="1200" ht="15">
      <c r="C1200" s="533"/>
    </row>
    <row r="1201" ht="15">
      <c r="C1201" s="533"/>
    </row>
    <row r="1202" ht="15">
      <c r="C1202" s="533"/>
    </row>
    <row r="1203" ht="15">
      <c r="C1203" s="533"/>
    </row>
    <row r="1204" ht="15">
      <c r="C1204" s="533"/>
    </row>
    <row r="1205" ht="15">
      <c r="C1205" s="533"/>
    </row>
    <row r="1206" ht="15">
      <c r="C1206" s="533"/>
    </row>
    <row r="1207" ht="15">
      <c r="C1207" s="533"/>
    </row>
    <row r="1208" ht="15">
      <c r="C1208" s="533"/>
    </row>
    <row r="1209" ht="15">
      <c r="C1209" s="533"/>
    </row>
    <row r="1210" ht="15">
      <c r="C1210" s="533"/>
    </row>
    <row r="1211" ht="15">
      <c r="C1211" s="533"/>
    </row>
    <row r="1212" ht="15">
      <c r="C1212" s="533"/>
    </row>
    <row r="1213" ht="15">
      <c r="C1213" s="533"/>
    </row>
    <row r="1214" ht="15">
      <c r="C1214" s="533"/>
    </row>
    <row r="1215" ht="15">
      <c r="C1215" s="533"/>
    </row>
    <row r="1216" ht="15">
      <c r="C1216" s="533"/>
    </row>
    <row r="1217" ht="15">
      <c r="C1217" s="533"/>
    </row>
    <row r="1218" ht="15">
      <c r="C1218" s="533"/>
    </row>
    <row r="1219" ht="15">
      <c r="C1219" s="533"/>
    </row>
    <row r="1220" ht="15">
      <c r="C1220" s="533"/>
    </row>
    <row r="1221" ht="15">
      <c r="C1221" s="533"/>
    </row>
    <row r="1222" ht="15">
      <c r="C1222" s="533"/>
    </row>
    <row r="1223" ht="15">
      <c r="C1223" s="533"/>
    </row>
    <row r="1224" ht="15">
      <c r="C1224" s="533"/>
    </row>
    <row r="1225" ht="15">
      <c r="C1225" s="533"/>
    </row>
    <row r="1226" ht="15">
      <c r="C1226" s="533"/>
    </row>
    <row r="1227" ht="15">
      <c r="C1227" s="533"/>
    </row>
    <row r="1228" ht="15">
      <c r="C1228" s="533"/>
    </row>
    <row r="1229" ht="15">
      <c r="C1229" s="533"/>
    </row>
    <row r="1230" ht="15">
      <c r="C1230" s="533"/>
    </row>
    <row r="1231" ht="15">
      <c r="C1231" s="533"/>
    </row>
    <row r="1232" ht="15">
      <c r="C1232" s="533"/>
    </row>
    <row r="1233" ht="15">
      <c r="C1233" s="533"/>
    </row>
    <row r="1234" ht="15">
      <c r="C1234" s="533"/>
    </row>
    <row r="1235" ht="15">
      <c r="C1235" s="533"/>
    </row>
    <row r="1236" ht="15">
      <c r="C1236" s="533"/>
    </row>
    <row r="1237" ht="15">
      <c r="C1237" s="533"/>
    </row>
    <row r="1238" ht="15">
      <c r="C1238" s="533"/>
    </row>
    <row r="1239" ht="15">
      <c r="C1239" s="533"/>
    </row>
    <row r="1240" ht="15">
      <c r="C1240" s="533"/>
    </row>
    <row r="1241" ht="15">
      <c r="C1241" s="533"/>
    </row>
    <row r="1242" ht="15">
      <c r="C1242" s="533"/>
    </row>
    <row r="1243" ht="15">
      <c r="C1243" s="533"/>
    </row>
    <row r="1244" ht="15">
      <c r="C1244" s="533"/>
    </row>
    <row r="1245" ht="15">
      <c r="C1245" s="533"/>
    </row>
    <row r="1246" ht="15">
      <c r="C1246" s="533"/>
    </row>
    <row r="1247" ht="15">
      <c r="C1247" s="533"/>
    </row>
    <row r="1248" ht="15">
      <c r="C1248" s="533"/>
    </row>
    <row r="1249" ht="15">
      <c r="C1249" s="533"/>
    </row>
    <row r="1250" ht="15">
      <c r="C1250" s="533"/>
    </row>
    <row r="1251" ht="15">
      <c r="C1251" s="533"/>
    </row>
    <row r="1252" ht="15">
      <c r="C1252" s="533"/>
    </row>
    <row r="1253" ht="15">
      <c r="C1253" s="533"/>
    </row>
    <row r="1254" ht="15">
      <c r="C1254" s="533"/>
    </row>
    <row r="1255" ht="15">
      <c r="C1255" s="533"/>
    </row>
    <row r="1256" ht="15">
      <c r="C1256" s="533"/>
    </row>
    <row r="1257" ht="15">
      <c r="C1257" s="533"/>
    </row>
    <row r="1258" ht="15">
      <c r="C1258" s="533"/>
    </row>
    <row r="1259" ht="15">
      <c r="C1259" s="533"/>
    </row>
    <row r="1260" ht="15">
      <c r="C1260" s="533"/>
    </row>
    <row r="1261" ht="15">
      <c r="C1261" s="533"/>
    </row>
    <row r="1262" ht="15">
      <c r="C1262" s="533"/>
    </row>
    <row r="1263" ht="15">
      <c r="C1263" s="533"/>
    </row>
    <row r="1264" ht="15">
      <c r="C1264" s="533"/>
    </row>
    <row r="1265" ht="15">
      <c r="C1265" s="533"/>
    </row>
    <row r="1266" ht="15">
      <c r="C1266" s="533"/>
    </row>
    <row r="1267" ht="15">
      <c r="C1267" s="533"/>
    </row>
    <row r="1268" ht="15">
      <c r="C1268" s="533"/>
    </row>
    <row r="1269" ht="15">
      <c r="C1269" s="533"/>
    </row>
    <row r="1270" ht="15">
      <c r="C1270" s="533"/>
    </row>
    <row r="1271" ht="15">
      <c r="C1271" s="533"/>
    </row>
    <row r="1272" ht="15">
      <c r="C1272" s="533"/>
    </row>
    <row r="1273" ht="15">
      <c r="C1273" s="533"/>
    </row>
    <row r="1274" ht="15">
      <c r="C1274" s="533"/>
    </row>
    <row r="1275" ht="15">
      <c r="C1275" s="533"/>
    </row>
    <row r="1276" ht="15">
      <c r="C1276" s="533"/>
    </row>
    <row r="1277" ht="15">
      <c r="C1277" s="533"/>
    </row>
    <row r="1278" ht="15">
      <c r="C1278" s="533"/>
    </row>
    <row r="1279" ht="15">
      <c r="C1279" s="533"/>
    </row>
    <row r="1280" ht="15">
      <c r="C1280" s="533"/>
    </row>
    <row r="1281" ht="15">
      <c r="C1281" s="533"/>
    </row>
    <row r="1282" ht="15">
      <c r="C1282" s="533"/>
    </row>
    <row r="1283" ht="15">
      <c r="C1283" s="533"/>
    </row>
    <row r="1284" ht="15">
      <c r="C1284" s="533"/>
    </row>
    <row r="1285" ht="15">
      <c r="C1285" s="533"/>
    </row>
    <row r="1286" ht="15">
      <c r="C1286" s="533"/>
    </row>
    <row r="1287" ht="15">
      <c r="C1287" s="533"/>
    </row>
    <row r="1288" ht="15">
      <c r="C1288" s="533"/>
    </row>
    <row r="1289" ht="15">
      <c r="C1289" s="533"/>
    </row>
    <row r="1290" ht="15">
      <c r="C1290" s="533"/>
    </row>
    <row r="1291" ht="15">
      <c r="C1291" s="533"/>
    </row>
    <row r="1292" ht="15">
      <c r="C1292" s="533"/>
    </row>
    <row r="1293" ht="15">
      <c r="C1293" s="533"/>
    </row>
    <row r="1294" ht="15">
      <c r="C1294" s="533"/>
    </row>
    <row r="1295" ht="15">
      <c r="C1295" s="533"/>
    </row>
    <row r="1296" ht="15">
      <c r="C1296" s="533"/>
    </row>
    <row r="1297" ht="15">
      <c r="C1297" s="533"/>
    </row>
    <row r="1298" ht="15">
      <c r="C1298" s="533"/>
    </row>
    <row r="1299" ht="15">
      <c r="C1299" s="533"/>
    </row>
    <row r="1300" ht="15">
      <c r="C1300" s="533"/>
    </row>
    <row r="1301" ht="15">
      <c r="C1301" s="533"/>
    </row>
    <row r="1302" ht="15">
      <c r="C1302" s="533"/>
    </row>
    <row r="1303" ht="15">
      <c r="C1303" s="533"/>
    </row>
    <row r="1304" ht="15">
      <c r="C1304" s="533"/>
    </row>
    <row r="1305" ht="15">
      <c r="C1305" s="533"/>
    </row>
    <row r="1306" ht="15">
      <c r="C1306" s="533"/>
    </row>
    <row r="1307" ht="15">
      <c r="C1307" s="533"/>
    </row>
    <row r="1308" ht="15">
      <c r="C1308" s="533"/>
    </row>
    <row r="1309" ht="15">
      <c r="C1309" s="533"/>
    </row>
    <row r="1310" ht="15">
      <c r="C1310" s="533"/>
    </row>
    <row r="1311" ht="15">
      <c r="C1311" s="533"/>
    </row>
    <row r="1312" ht="15">
      <c r="C1312" s="533"/>
    </row>
    <row r="1313" ht="15">
      <c r="C1313" s="533"/>
    </row>
    <row r="1314" ht="15">
      <c r="C1314" s="533"/>
    </row>
    <row r="1315" ht="15">
      <c r="C1315" s="533"/>
    </row>
    <row r="1316" ht="15">
      <c r="C1316" s="533"/>
    </row>
    <row r="1317" ht="15">
      <c r="C1317" s="533"/>
    </row>
    <row r="1318" ht="15">
      <c r="C1318" s="533"/>
    </row>
    <row r="1319" ht="15">
      <c r="C1319" s="533"/>
    </row>
    <row r="1320" ht="15">
      <c r="C1320" s="533"/>
    </row>
    <row r="1321" ht="15">
      <c r="C1321" s="533"/>
    </row>
    <row r="1322" ht="15">
      <c r="C1322" s="533"/>
    </row>
    <row r="1323" ht="15">
      <c r="C1323" s="533"/>
    </row>
    <row r="1324" ht="15">
      <c r="C1324" s="533"/>
    </row>
    <row r="1325" ht="15">
      <c r="C1325" s="533"/>
    </row>
    <row r="1326" ht="15">
      <c r="C1326" s="533"/>
    </row>
    <row r="1327" ht="15">
      <c r="C1327" s="533"/>
    </row>
    <row r="1328" ht="15">
      <c r="C1328" s="533"/>
    </row>
    <row r="1329" ht="15">
      <c r="C1329" s="533"/>
    </row>
    <row r="1330" ht="15">
      <c r="C1330" s="533"/>
    </row>
    <row r="1331" ht="15">
      <c r="C1331" s="533"/>
    </row>
    <row r="1332" ht="15">
      <c r="C1332" s="533"/>
    </row>
    <row r="1333" ht="15">
      <c r="C1333" s="533"/>
    </row>
    <row r="1334" ht="15">
      <c r="C1334" s="533"/>
    </row>
    <row r="1335" ht="15">
      <c r="C1335" s="533"/>
    </row>
    <row r="1336" ht="15">
      <c r="C1336" s="533"/>
    </row>
    <row r="1337" ht="15">
      <c r="C1337" s="533"/>
    </row>
    <row r="1338" ht="15">
      <c r="C1338" s="533"/>
    </row>
    <row r="1339" ht="15">
      <c r="C1339" s="533"/>
    </row>
    <row r="1340" ht="15">
      <c r="C1340" s="533"/>
    </row>
    <row r="1341" ht="15">
      <c r="C1341" s="533"/>
    </row>
    <row r="1342" ht="15">
      <c r="C1342" s="533"/>
    </row>
    <row r="1343" ht="15">
      <c r="C1343" s="533"/>
    </row>
    <row r="1344" ht="15">
      <c r="C1344" s="533"/>
    </row>
    <row r="1345" ht="15">
      <c r="C1345" s="533"/>
    </row>
    <row r="1346" ht="15">
      <c r="C1346" s="533"/>
    </row>
    <row r="1347" ht="15">
      <c r="C1347" s="533"/>
    </row>
    <row r="1348" ht="15">
      <c r="C1348" s="533"/>
    </row>
    <row r="1349" ht="15">
      <c r="C1349" s="533"/>
    </row>
    <row r="1350" ht="15">
      <c r="C1350" s="533"/>
    </row>
    <row r="1351" ht="15">
      <c r="C1351" s="533"/>
    </row>
    <row r="1352" ht="15">
      <c r="C1352" s="533"/>
    </row>
    <row r="1353" ht="15">
      <c r="C1353" s="533"/>
    </row>
    <row r="1354" ht="15">
      <c r="C1354" s="533"/>
    </row>
    <row r="1355" ht="15">
      <c r="C1355" s="533"/>
    </row>
    <row r="1356" ht="15">
      <c r="C1356" s="533"/>
    </row>
    <row r="1357" ht="15">
      <c r="C1357" s="533"/>
    </row>
    <row r="1358" ht="15">
      <c r="C1358" s="533"/>
    </row>
    <row r="1359" ht="15">
      <c r="C1359" s="533"/>
    </row>
    <row r="1360" ht="15">
      <c r="C1360" s="533"/>
    </row>
    <row r="1361" ht="15">
      <c r="C1361" s="533"/>
    </row>
    <row r="1362" ht="15">
      <c r="C1362" s="533"/>
    </row>
    <row r="1363" ht="15">
      <c r="C1363" s="533"/>
    </row>
    <row r="1364" ht="15">
      <c r="C1364" s="533"/>
    </row>
    <row r="1365" ht="15">
      <c r="C1365" s="533"/>
    </row>
    <row r="1366" ht="15">
      <c r="C1366" s="533"/>
    </row>
    <row r="1367" ht="15">
      <c r="C1367" s="533"/>
    </row>
    <row r="1368" ht="15">
      <c r="C1368" s="533"/>
    </row>
    <row r="1369" ht="15">
      <c r="C1369" s="533"/>
    </row>
    <row r="1370" ht="15">
      <c r="C1370" s="533"/>
    </row>
    <row r="1371" ht="15">
      <c r="C1371" s="533"/>
    </row>
    <row r="1372" ht="15">
      <c r="C1372" s="533"/>
    </row>
    <row r="1373" ht="15">
      <c r="C1373" s="533"/>
    </row>
    <row r="1374" ht="15">
      <c r="C1374" s="533"/>
    </row>
    <row r="1375" ht="15">
      <c r="C1375" s="533"/>
    </row>
    <row r="1376" ht="15">
      <c r="C1376" s="533"/>
    </row>
    <row r="1377" ht="15">
      <c r="C1377" s="533"/>
    </row>
    <row r="1378" ht="15">
      <c r="C1378" s="533"/>
    </row>
    <row r="1379" ht="15">
      <c r="C1379" s="533"/>
    </row>
    <row r="1380" ht="15">
      <c r="C1380" s="533"/>
    </row>
    <row r="1381" ht="15">
      <c r="C1381" s="533"/>
    </row>
    <row r="1382" ht="15">
      <c r="C1382" s="533"/>
    </row>
    <row r="1383" ht="15">
      <c r="C1383" s="533"/>
    </row>
    <row r="1384" ht="15">
      <c r="C1384" s="533"/>
    </row>
    <row r="1385" ht="15">
      <c r="C1385" s="533"/>
    </row>
    <row r="1386" ht="15">
      <c r="C1386" s="533"/>
    </row>
    <row r="1387" ht="15">
      <c r="C1387" s="533"/>
    </row>
    <row r="1388" ht="15">
      <c r="C1388" s="533"/>
    </row>
    <row r="1389" ht="15">
      <c r="C1389" s="533"/>
    </row>
    <row r="1390" ht="15">
      <c r="C1390" s="533"/>
    </row>
    <row r="1391" ht="15">
      <c r="C1391" s="533"/>
    </row>
    <row r="1392" ht="15">
      <c r="C1392" s="533"/>
    </row>
    <row r="1393" ht="15">
      <c r="C1393" s="533"/>
    </row>
    <row r="1394" ht="15">
      <c r="C1394" s="533"/>
    </row>
    <row r="1395" ht="15">
      <c r="C1395" s="533"/>
    </row>
    <row r="1396" ht="15">
      <c r="C1396" s="533"/>
    </row>
    <row r="1397" ht="15">
      <c r="C1397" s="533"/>
    </row>
    <row r="1398" ht="15">
      <c r="C1398" s="533"/>
    </row>
    <row r="1399" ht="15">
      <c r="C1399" s="533"/>
    </row>
    <row r="1400" ht="15">
      <c r="C1400" s="533"/>
    </row>
    <row r="1401" ht="15">
      <c r="C1401" s="533"/>
    </row>
    <row r="1402" ht="15">
      <c r="C1402" s="533"/>
    </row>
    <row r="1403" ht="15">
      <c r="C1403" s="533"/>
    </row>
    <row r="1404" ht="15">
      <c r="C1404" s="533"/>
    </row>
    <row r="1405" ht="15">
      <c r="C1405" s="533"/>
    </row>
    <row r="1406" ht="15">
      <c r="C1406" s="533"/>
    </row>
    <row r="1407" ht="15">
      <c r="C1407" s="533"/>
    </row>
    <row r="1408" ht="15">
      <c r="C1408" s="533"/>
    </row>
    <row r="1409" ht="15">
      <c r="C1409" s="533"/>
    </row>
    <row r="1410" ht="15">
      <c r="C1410" s="533"/>
    </row>
    <row r="1411" ht="15">
      <c r="C1411" s="533"/>
    </row>
    <row r="1412" ht="15">
      <c r="C1412" s="533"/>
    </row>
    <row r="1413" ht="15">
      <c r="C1413" s="533"/>
    </row>
    <row r="1414" ht="15">
      <c r="C1414" s="533"/>
    </row>
    <row r="1415" ht="15">
      <c r="C1415" s="533"/>
    </row>
    <row r="1416" ht="15">
      <c r="C1416" s="533"/>
    </row>
    <row r="1417" ht="15">
      <c r="C1417" s="533"/>
    </row>
    <row r="1418" ht="15">
      <c r="C1418" s="533"/>
    </row>
    <row r="1419" ht="15">
      <c r="C1419" s="533"/>
    </row>
    <row r="1420" ht="15">
      <c r="C1420" s="533"/>
    </row>
    <row r="1421" ht="15">
      <c r="C1421" s="533"/>
    </row>
    <row r="1422" ht="15">
      <c r="C1422" s="534"/>
    </row>
    <row r="1423" ht="15">
      <c r="C1423" s="534"/>
    </row>
    <row r="1424" ht="15">
      <c r="C1424" s="534"/>
    </row>
    <row r="1425" ht="15">
      <c r="C1425" s="534"/>
    </row>
    <row r="1426" ht="15">
      <c r="C1426" s="534"/>
    </row>
    <row r="1427" ht="15">
      <c r="C1427" s="534"/>
    </row>
    <row r="1428" ht="15">
      <c r="C1428" s="534"/>
    </row>
    <row r="1429" ht="15">
      <c r="C1429" s="534"/>
    </row>
    <row r="1430" ht="15">
      <c r="C1430" s="534"/>
    </row>
    <row r="1431" ht="15">
      <c r="C1431" s="534"/>
    </row>
    <row r="1432" ht="15">
      <c r="C1432" s="534"/>
    </row>
    <row r="1433" ht="15">
      <c r="C1433" s="534"/>
    </row>
    <row r="1434" ht="15">
      <c r="C1434" s="534"/>
    </row>
    <row r="1435" ht="15">
      <c r="C1435" s="534"/>
    </row>
    <row r="1436" ht="15">
      <c r="C1436" s="534"/>
    </row>
    <row r="1437" ht="15">
      <c r="C1437" s="534"/>
    </row>
    <row r="1438" ht="15">
      <c r="C1438" s="534"/>
    </row>
    <row r="1439" ht="15">
      <c r="C1439" s="534"/>
    </row>
    <row r="1440" ht="15">
      <c r="C1440" s="534"/>
    </row>
    <row r="1441" ht="15">
      <c r="C1441" s="534"/>
    </row>
    <row r="1442" ht="15">
      <c r="C1442" s="534"/>
    </row>
    <row r="1443" ht="15">
      <c r="C1443" s="534"/>
    </row>
    <row r="1444" ht="15">
      <c r="C1444" s="534"/>
    </row>
    <row r="1445" ht="15">
      <c r="C1445" s="534"/>
    </row>
    <row r="1446" ht="15">
      <c r="C1446" s="534"/>
    </row>
    <row r="1447" ht="15">
      <c r="C1447" s="534"/>
    </row>
    <row r="1448" ht="15">
      <c r="C1448" s="534"/>
    </row>
    <row r="1449" ht="15">
      <c r="C1449" s="534"/>
    </row>
    <row r="1450" ht="15">
      <c r="C1450" s="534"/>
    </row>
    <row r="1451" ht="15">
      <c r="C1451" s="534"/>
    </row>
    <row r="1452" ht="15">
      <c r="C1452" s="534"/>
    </row>
    <row r="1453" ht="15">
      <c r="C1453" s="534"/>
    </row>
    <row r="1454" ht="15">
      <c r="C1454" s="534"/>
    </row>
    <row r="1455" ht="15">
      <c r="C1455" s="534"/>
    </row>
    <row r="1456" ht="15">
      <c r="C1456" s="534"/>
    </row>
    <row r="1457" ht="15">
      <c r="C1457" s="534"/>
    </row>
    <row r="1458" ht="15">
      <c r="C1458" s="534"/>
    </row>
    <row r="1459" ht="15">
      <c r="C1459" s="534"/>
    </row>
    <row r="1460" ht="15">
      <c r="C1460" s="534"/>
    </row>
    <row r="1461" ht="15">
      <c r="C1461" s="534"/>
    </row>
    <row r="1462" ht="15">
      <c r="C1462" s="534"/>
    </row>
    <row r="1463" ht="15">
      <c r="C1463" s="534"/>
    </row>
    <row r="1464" ht="15">
      <c r="C1464" s="534"/>
    </row>
    <row r="1465" ht="15">
      <c r="C1465" s="534"/>
    </row>
    <row r="1466" ht="15">
      <c r="C1466" s="534"/>
    </row>
    <row r="1467" ht="15">
      <c r="C1467" s="534"/>
    </row>
    <row r="1468" ht="15">
      <c r="C1468" s="534"/>
    </row>
    <row r="1469" ht="15">
      <c r="C1469" s="534"/>
    </row>
    <row r="1470" ht="15">
      <c r="C1470" s="534"/>
    </row>
    <row r="1471" ht="15">
      <c r="C1471" s="534"/>
    </row>
    <row r="1472" ht="15">
      <c r="C1472" s="534"/>
    </row>
    <row r="1473" ht="15">
      <c r="C1473" s="534"/>
    </row>
    <row r="1474" ht="15">
      <c r="C1474" s="534"/>
    </row>
    <row r="1475" ht="15">
      <c r="C1475" s="534"/>
    </row>
    <row r="1476" ht="15">
      <c r="C1476" s="534"/>
    </row>
    <row r="1477" ht="15">
      <c r="C1477" s="534"/>
    </row>
    <row r="1478" ht="15">
      <c r="C1478" s="534"/>
    </row>
    <row r="1479" ht="15">
      <c r="C1479" s="534"/>
    </row>
    <row r="1480" ht="15">
      <c r="C1480" s="534"/>
    </row>
    <row r="1481" ht="15">
      <c r="C1481" s="534"/>
    </row>
    <row r="1482" ht="15">
      <c r="C1482" s="534"/>
    </row>
    <row r="1483" ht="15">
      <c r="C1483" s="534"/>
    </row>
    <row r="1484" ht="15">
      <c r="C1484" s="534"/>
    </row>
    <row r="1485" ht="15">
      <c r="C1485" s="534"/>
    </row>
    <row r="1486" ht="15">
      <c r="C1486" s="534"/>
    </row>
    <row r="1487" ht="15">
      <c r="C1487" s="534"/>
    </row>
    <row r="1488" ht="15">
      <c r="C1488" s="534"/>
    </row>
    <row r="1489" ht="15">
      <c r="C1489" s="534"/>
    </row>
    <row r="1490" ht="15">
      <c r="C1490" s="534"/>
    </row>
    <row r="1491" ht="15">
      <c r="C1491" s="534"/>
    </row>
    <row r="1492" ht="15">
      <c r="C1492" s="534"/>
    </row>
    <row r="1493" ht="15">
      <c r="C1493" s="534"/>
    </row>
    <row r="1494" ht="15">
      <c r="C1494" s="534"/>
    </row>
    <row r="1495" ht="15">
      <c r="C1495" s="534"/>
    </row>
    <row r="1496" ht="15">
      <c r="C1496" s="534"/>
    </row>
    <row r="1497" ht="15">
      <c r="C1497" s="534"/>
    </row>
    <row r="1498" ht="15">
      <c r="C1498" s="534"/>
    </row>
    <row r="1499" ht="15">
      <c r="C1499" s="534"/>
    </row>
    <row r="1500" ht="15">
      <c r="C1500" s="534"/>
    </row>
    <row r="1501" ht="15">
      <c r="C1501" s="534"/>
    </row>
    <row r="1502" ht="15">
      <c r="C1502" s="534"/>
    </row>
    <row r="1503" ht="15">
      <c r="C1503" s="534"/>
    </row>
    <row r="1504" ht="15">
      <c r="C1504" s="534"/>
    </row>
    <row r="1505" ht="15">
      <c r="C1505" s="534"/>
    </row>
    <row r="1506" ht="15">
      <c r="C1506" s="534"/>
    </row>
    <row r="1507" ht="15">
      <c r="C1507" s="534"/>
    </row>
    <row r="1508" ht="15">
      <c r="C1508" s="534"/>
    </row>
    <row r="1509" ht="15">
      <c r="C1509" s="534"/>
    </row>
    <row r="1510" ht="15">
      <c r="C1510" s="534"/>
    </row>
    <row r="1511" ht="15">
      <c r="C1511" s="534"/>
    </row>
    <row r="1512" ht="15">
      <c r="C1512" s="534"/>
    </row>
    <row r="1513" ht="15">
      <c r="C1513" s="534"/>
    </row>
    <row r="1514" ht="15">
      <c r="C1514" s="534"/>
    </row>
    <row r="1515" ht="15">
      <c r="C1515" s="534"/>
    </row>
    <row r="1516" ht="15">
      <c r="C1516" s="534"/>
    </row>
    <row r="1517" ht="15">
      <c r="C1517" s="534"/>
    </row>
    <row r="1518" ht="15">
      <c r="C1518" s="534"/>
    </row>
    <row r="1519" ht="15">
      <c r="C1519" s="534"/>
    </row>
    <row r="1520" ht="15">
      <c r="C1520" s="534"/>
    </row>
    <row r="1521" ht="15">
      <c r="C1521" s="534"/>
    </row>
    <row r="1522" ht="15">
      <c r="C1522" s="534"/>
    </row>
    <row r="1523" ht="15">
      <c r="C1523" s="534"/>
    </row>
    <row r="1524" ht="15">
      <c r="C1524" s="534"/>
    </row>
    <row r="1525" ht="15">
      <c r="C1525" s="534"/>
    </row>
    <row r="1526" ht="15">
      <c r="C1526" s="534"/>
    </row>
    <row r="1527" ht="15">
      <c r="C1527" s="534"/>
    </row>
    <row r="1528" ht="15">
      <c r="C1528" s="534"/>
    </row>
    <row r="1529" ht="15">
      <c r="C1529" s="534"/>
    </row>
    <row r="1530" ht="15">
      <c r="C1530" s="534"/>
    </row>
    <row r="1531" ht="15">
      <c r="C1531" s="534"/>
    </row>
    <row r="1532" ht="15">
      <c r="C1532" s="534"/>
    </row>
    <row r="1533" ht="15">
      <c r="C1533" s="534"/>
    </row>
    <row r="1534" ht="15">
      <c r="C1534" s="534"/>
    </row>
    <row r="1535" ht="15">
      <c r="C1535" s="534"/>
    </row>
    <row r="1536" ht="15">
      <c r="C1536" s="534"/>
    </row>
    <row r="1537" ht="15">
      <c r="C1537" s="534"/>
    </row>
    <row r="1538" ht="15">
      <c r="C1538" s="534"/>
    </row>
    <row r="1539" ht="15">
      <c r="C1539" s="534"/>
    </row>
    <row r="1540" ht="15">
      <c r="C1540" s="534"/>
    </row>
    <row r="1541" ht="15">
      <c r="C1541" s="534"/>
    </row>
    <row r="1542" ht="15">
      <c r="C1542" s="534"/>
    </row>
    <row r="1543" ht="15">
      <c r="C1543" s="534"/>
    </row>
    <row r="1544" ht="15">
      <c r="C1544" s="534"/>
    </row>
    <row r="1545" ht="15">
      <c r="C1545" s="534"/>
    </row>
    <row r="1546" ht="15">
      <c r="C1546" s="534"/>
    </row>
    <row r="1547" ht="15">
      <c r="C1547" s="534"/>
    </row>
    <row r="1548" ht="15">
      <c r="C1548" s="534"/>
    </row>
    <row r="1549" ht="15">
      <c r="C1549" s="534"/>
    </row>
    <row r="1550" ht="15">
      <c r="C1550" s="534"/>
    </row>
    <row r="1551" ht="15">
      <c r="C1551" s="534"/>
    </row>
    <row r="1552" ht="15">
      <c r="C1552" s="534"/>
    </row>
    <row r="1553" ht="15">
      <c r="C1553" s="534"/>
    </row>
    <row r="1554" ht="15">
      <c r="C1554" s="534"/>
    </row>
    <row r="1555" ht="15">
      <c r="C1555" s="534"/>
    </row>
    <row r="1556" ht="15">
      <c r="C1556" s="534"/>
    </row>
    <row r="1557" ht="15">
      <c r="C1557" s="534"/>
    </row>
    <row r="1558" ht="15">
      <c r="C1558" s="534"/>
    </row>
    <row r="1559" ht="15">
      <c r="C1559" s="534"/>
    </row>
    <row r="1560" ht="15">
      <c r="C1560" s="534"/>
    </row>
    <row r="1561" ht="15">
      <c r="C1561" s="534"/>
    </row>
    <row r="1562" ht="15">
      <c r="C1562" s="534"/>
    </row>
    <row r="1563" ht="15">
      <c r="C1563" s="534"/>
    </row>
    <row r="1564" ht="15">
      <c r="C1564" s="534"/>
    </row>
    <row r="1565" ht="15">
      <c r="C1565" s="534"/>
    </row>
    <row r="1566" ht="15">
      <c r="C1566" s="534"/>
    </row>
    <row r="1567" ht="15">
      <c r="C1567" s="534"/>
    </row>
    <row r="1568" ht="15">
      <c r="C1568" s="534"/>
    </row>
    <row r="1569" ht="15">
      <c r="C1569" s="534"/>
    </row>
    <row r="1570" ht="15">
      <c r="C1570" s="534"/>
    </row>
    <row r="1571" ht="15">
      <c r="C1571" s="534"/>
    </row>
    <row r="1572" ht="15">
      <c r="C1572" s="534"/>
    </row>
    <row r="1573" ht="15">
      <c r="C1573" s="534"/>
    </row>
    <row r="1574" ht="15">
      <c r="C1574" s="534"/>
    </row>
    <row r="1575" ht="15">
      <c r="C1575" s="534"/>
    </row>
    <row r="1576" ht="15">
      <c r="C1576" s="534"/>
    </row>
    <row r="1577" ht="15">
      <c r="C1577" s="534"/>
    </row>
    <row r="1578" ht="15">
      <c r="C1578" s="534"/>
    </row>
    <row r="1579" ht="15">
      <c r="C1579" s="534"/>
    </row>
    <row r="1580" ht="15">
      <c r="C1580" s="534"/>
    </row>
    <row r="1581" ht="15">
      <c r="C1581" s="534"/>
    </row>
    <row r="1582" ht="15">
      <c r="C1582" s="534"/>
    </row>
    <row r="1583" ht="15">
      <c r="C1583" s="534"/>
    </row>
    <row r="1584" ht="15">
      <c r="C1584" s="534"/>
    </row>
    <row r="1585" ht="15">
      <c r="C1585" s="534"/>
    </row>
    <row r="1586" ht="15">
      <c r="C1586" s="534"/>
    </row>
    <row r="1587" ht="15">
      <c r="C1587" s="534"/>
    </row>
    <row r="1588" ht="15">
      <c r="C1588" s="534"/>
    </row>
    <row r="1589" ht="15">
      <c r="C1589" s="534"/>
    </row>
    <row r="1590" ht="15">
      <c r="C1590" s="534"/>
    </row>
    <row r="1591" ht="15">
      <c r="C1591" s="534"/>
    </row>
    <row r="1592" ht="15">
      <c r="C1592" s="534"/>
    </row>
    <row r="1593" ht="15">
      <c r="C1593" s="534"/>
    </row>
    <row r="1594" ht="15">
      <c r="C1594" s="534"/>
    </row>
    <row r="1595" ht="15">
      <c r="C1595" s="534"/>
    </row>
    <row r="1596" ht="15">
      <c r="C1596" s="534"/>
    </row>
    <row r="1597" ht="15">
      <c r="C1597" s="534"/>
    </row>
    <row r="1598" ht="15">
      <c r="C1598" s="534"/>
    </row>
    <row r="1599" ht="15">
      <c r="C1599" s="534"/>
    </row>
    <row r="1600" ht="15">
      <c r="C1600" s="534"/>
    </row>
    <row r="1601" ht="15">
      <c r="C1601" s="534"/>
    </row>
    <row r="1602" ht="15">
      <c r="C1602" s="534"/>
    </row>
    <row r="1603" ht="15">
      <c r="C1603" s="534"/>
    </row>
    <row r="1604" ht="15">
      <c r="C1604" s="534"/>
    </row>
    <row r="1605" ht="15">
      <c r="C1605" s="534"/>
    </row>
    <row r="1606" ht="15">
      <c r="C1606" s="534"/>
    </row>
    <row r="1607" ht="15">
      <c r="C1607" s="534"/>
    </row>
    <row r="1608" ht="15">
      <c r="C1608" s="534"/>
    </row>
    <row r="1609" ht="15">
      <c r="C1609" s="534"/>
    </row>
    <row r="1610" ht="15">
      <c r="C1610" s="534"/>
    </row>
    <row r="1611" ht="15">
      <c r="C1611" s="534"/>
    </row>
    <row r="1612" ht="15">
      <c r="C1612" s="534"/>
    </row>
    <row r="1613" ht="15">
      <c r="C1613" s="534"/>
    </row>
    <row r="1614" ht="15">
      <c r="C1614" s="534"/>
    </row>
    <row r="1615" ht="15">
      <c r="C1615" s="534"/>
    </row>
    <row r="1616" ht="15">
      <c r="C1616" s="534"/>
    </row>
    <row r="1617" ht="15">
      <c r="C1617" s="534"/>
    </row>
    <row r="1618" ht="15">
      <c r="C1618" s="534"/>
    </row>
    <row r="1619" ht="15">
      <c r="C1619" s="534"/>
    </row>
    <row r="1620" ht="15">
      <c r="C1620" s="534"/>
    </row>
    <row r="1621" ht="15">
      <c r="C1621" s="534"/>
    </row>
    <row r="1622" ht="15">
      <c r="C1622" s="534"/>
    </row>
    <row r="1623" ht="15">
      <c r="C1623" s="534"/>
    </row>
    <row r="1624" ht="15">
      <c r="C1624" s="534"/>
    </row>
    <row r="1625" ht="15">
      <c r="C1625" s="534"/>
    </row>
    <row r="1626" ht="15">
      <c r="C1626" s="534"/>
    </row>
    <row r="1627" ht="15">
      <c r="C1627" s="534"/>
    </row>
    <row r="1628" ht="15">
      <c r="C1628" s="534"/>
    </row>
    <row r="1629" ht="15">
      <c r="C1629" s="534"/>
    </row>
    <row r="1630" ht="15">
      <c r="C1630" s="534"/>
    </row>
    <row r="1631" ht="15">
      <c r="C1631" s="534"/>
    </row>
    <row r="1632" ht="15">
      <c r="C1632" s="534"/>
    </row>
    <row r="1633" ht="15">
      <c r="C1633" s="534"/>
    </row>
    <row r="1634" ht="15">
      <c r="C1634" s="534"/>
    </row>
    <row r="1635" ht="15">
      <c r="C1635" s="534"/>
    </row>
    <row r="1636" ht="15">
      <c r="C1636" s="534"/>
    </row>
    <row r="1637" ht="15">
      <c r="C1637" s="534"/>
    </row>
    <row r="1638" ht="15">
      <c r="C1638" s="534"/>
    </row>
    <row r="1639" ht="15">
      <c r="C1639" s="534"/>
    </row>
    <row r="1640" ht="15">
      <c r="C1640" s="534"/>
    </row>
    <row r="1641" ht="15">
      <c r="C1641" s="534"/>
    </row>
    <row r="1642" ht="15">
      <c r="C1642" s="534"/>
    </row>
    <row r="1643" ht="15">
      <c r="C1643" s="534"/>
    </row>
    <row r="1644" ht="15">
      <c r="C1644" s="534"/>
    </row>
    <row r="1645" ht="15">
      <c r="C1645" s="534"/>
    </row>
    <row r="1646" ht="15">
      <c r="C1646" s="534"/>
    </row>
    <row r="1647" ht="15">
      <c r="C1647" s="534"/>
    </row>
    <row r="1648" ht="15">
      <c r="C1648" s="534"/>
    </row>
    <row r="1649" ht="15">
      <c r="C1649" s="534"/>
    </row>
    <row r="1650" ht="15">
      <c r="C1650" s="534"/>
    </row>
    <row r="1651" ht="15">
      <c r="C1651" s="534"/>
    </row>
    <row r="1652" ht="15">
      <c r="C1652" s="534"/>
    </row>
    <row r="1653" ht="15">
      <c r="C1653" s="534"/>
    </row>
    <row r="1654" ht="15">
      <c r="C1654" s="534"/>
    </row>
    <row r="1655" ht="15">
      <c r="C1655" s="534"/>
    </row>
    <row r="1656" ht="15">
      <c r="C1656" s="534"/>
    </row>
    <row r="1657" ht="15">
      <c r="C1657" s="534"/>
    </row>
    <row r="1658" ht="15">
      <c r="C1658" s="534"/>
    </row>
    <row r="1659" ht="15">
      <c r="C1659" s="534"/>
    </row>
    <row r="1660" ht="15">
      <c r="C1660" s="534"/>
    </row>
    <row r="1661" ht="15">
      <c r="C1661" s="534"/>
    </row>
    <row r="1662" ht="15">
      <c r="C1662" s="534"/>
    </row>
    <row r="1663" ht="15">
      <c r="C1663" s="534"/>
    </row>
    <row r="1664" ht="15">
      <c r="C1664" s="534"/>
    </row>
    <row r="1665" ht="15">
      <c r="C1665" s="534"/>
    </row>
    <row r="1666" ht="15">
      <c r="C1666" s="534"/>
    </row>
    <row r="1667" ht="15">
      <c r="C1667" s="534"/>
    </row>
    <row r="1668" ht="15">
      <c r="C1668" s="534"/>
    </row>
    <row r="1669" ht="15">
      <c r="C1669" s="534"/>
    </row>
    <row r="1670" ht="15">
      <c r="C1670" s="534"/>
    </row>
    <row r="1671" ht="15">
      <c r="C1671" s="534"/>
    </row>
    <row r="1672" ht="15">
      <c r="C1672" s="534"/>
    </row>
    <row r="1673" ht="15">
      <c r="C1673" s="534"/>
    </row>
    <row r="1674" ht="15">
      <c r="C1674" s="534"/>
    </row>
    <row r="1675" ht="15">
      <c r="C1675" s="534"/>
    </row>
    <row r="1676" ht="15">
      <c r="C1676" s="534"/>
    </row>
    <row r="1677" ht="15">
      <c r="C1677" s="534"/>
    </row>
    <row r="1678" ht="15">
      <c r="C1678" s="534"/>
    </row>
    <row r="1679" ht="15">
      <c r="C1679" s="534"/>
    </row>
    <row r="1680" ht="15">
      <c r="C1680" s="534"/>
    </row>
    <row r="1681" ht="15">
      <c r="C1681" s="534"/>
    </row>
    <row r="1682" ht="15">
      <c r="C1682" s="534"/>
    </row>
    <row r="1683" ht="15">
      <c r="C1683" s="534"/>
    </row>
    <row r="1684" ht="15">
      <c r="C1684" s="534"/>
    </row>
    <row r="1685" ht="15">
      <c r="C1685" s="534"/>
    </row>
    <row r="1686" ht="15">
      <c r="C1686" s="534"/>
    </row>
    <row r="1687" ht="15">
      <c r="C1687" s="534"/>
    </row>
    <row r="1688" ht="15">
      <c r="C1688" s="534"/>
    </row>
    <row r="1689" ht="15">
      <c r="C1689" s="534"/>
    </row>
    <row r="1690" ht="15">
      <c r="C1690" s="534"/>
    </row>
    <row r="1691" ht="15">
      <c r="C1691" s="534"/>
    </row>
    <row r="1692" ht="15">
      <c r="C1692" s="534"/>
    </row>
    <row r="1693" ht="15">
      <c r="C1693" s="534"/>
    </row>
    <row r="1694" ht="15">
      <c r="C1694" s="534"/>
    </row>
    <row r="1695" ht="15">
      <c r="C1695" s="534"/>
    </row>
    <row r="1696" ht="15">
      <c r="C1696" s="534"/>
    </row>
    <row r="1697" ht="15">
      <c r="C1697" s="534"/>
    </row>
    <row r="1698" ht="15">
      <c r="C1698" s="534"/>
    </row>
    <row r="1699" ht="15">
      <c r="C1699" s="534"/>
    </row>
    <row r="1700" ht="15">
      <c r="C1700" s="534"/>
    </row>
    <row r="1701" ht="15">
      <c r="C1701" s="534"/>
    </row>
    <row r="1702" ht="15">
      <c r="C1702" s="534"/>
    </row>
    <row r="1703" ht="15">
      <c r="C1703" s="534"/>
    </row>
    <row r="1704" ht="15">
      <c r="C1704" s="534"/>
    </row>
    <row r="1705" ht="15">
      <c r="C1705" s="534"/>
    </row>
    <row r="1706" ht="15">
      <c r="C1706" s="534"/>
    </row>
    <row r="1707" ht="15">
      <c r="C1707" s="534"/>
    </row>
    <row r="1708" ht="15">
      <c r="C1708" s="534"/>
    </row>
    <row r="1709" ht="15">
      <c r="C1709" s="534"/>
    </row>
    <row r="1710" ht="15">
      <c r="C1710" s="534"/>
    </row>
    <row r="1711" ht="15">
      <c r="C1711" s="534"/>
    </row>
    <row r="1712" ht="15">
      <c r="C1712" s="534"/>
    </row>
    <row r="1713" ht="15">
      <c r="C1713" s="534"/>
    </row>
    <row r="1714" ht="15">
      <c r="C1714" s="534"/>
    </row>
    <row r="1715" ht="15">
      <c r="C1715" s="534"/>
    </row>
    <row r="1716" ht="15">
      <c r="C1716" s="534"/>
    </row>
    <row r="1717" ht="15">
      <c r="C1717" s="534"/>
    </row>
    <row r="1718" ht="15">
      <c r="C1718" s="534"/>
    </row>
    <row r="1719" ht="15">
      <c r="C1719" s="534"/>
    </row>
    <row r="1720" ht="15">
      <c r="C1720" s="534"/>
    </row>
    <row r="1721" ht="15">
      <c r="C1721" s="534"/>
    </row>
    <row r="1722" ht="15">
      <c r="C1722" s="534"/>
    </row>
    <row r="1723" ht="15">
      <c r="C1723" s="534"/>
    </row>
    <row r="1724" ht="15">
      <c r="C1724" s="534"/>
    </row>
    <row r="1725" ht="15">
      <c r="C1725" s="534"/>
    </row>
    <row r="1726" ht="15">
      <c r="C1726" s="534"/>
    </row>
    <row r="1727" ht="15">
      <c r="C1727" s="534"/>
    </row>
    <row r="1728" ht="15">
      <c r="C1728" s="534"/>
    </row>
    <row r="1729" ht="15">
      <c r="C1729" s="534"/>
    </row>
    <row r="1730" ht="15">
      <c r="C1730" s="534"/>
    </row>
    <row r="1731" ht="15">
      <c r="C1731" s="534"/>
    </row>
    <row r="1732" ht="15">
      <c r="C1732" s="534"/>
    </row>
    <row r="1733" ht="15">
      <c r="C1733" s="534"/>
    </row>
    <row r="1734" ht="15">
      <c r="C1734" s="534"/>
    </row>
    <row r="1735" ht="15">
      <c r="C1735" s="534"/>
    </row>
    <row r="1736" ht="15">
      <c r="C1736" s="534"/>
    </row>
    <row r="1737" ht="15">
      <c r="C1737" s="534"/>
    </row>
    <row r="1738" ht="15">
      <c r="C1738" s="534"/>
    </row>
    <row r="1739" ht="15">
      <c r="C1739" s="534"/>
    </row>
    <row r="1740" ht="15">
      <c r="C1740" s="534"/>
    </row>
    <row r="1741" ht="15">
      <c r="C1741" s="534"/>
    </row>
    <row r="1742" ht="15">
      <c r="C1742" s="534"/>
    </row>
    <row r="1743" ht="15">
      <c r="C1743" s="534"/>
    </row>
    <row r="1744" ht="15">
      <c r="C1744" s="534"/>
    </row>
    <row r="1745" ht="15">
      <c r="C1745" s="534"/>
    </row>
    <row r="1746" ht="15">
      <c r="C1746" s="534"/>
    </row>
    <row r="1747" ht="15">
      <c r="C1747" s="534"/>
    </row>
    <row r="1748" ht="15">
      <c r="C1748" s="534"/>
    </row>
    <row r="1749" ht="15">
      <c r="C1749" s="534"/>
    </row>
    <row r="1750" ht="15">
      <c r="C1750" s="534"/>
    </row>
    <row r="1751" ht="15">
      <c r="C1751" s="534"/>
    </row>
    <row r="1752" ht="15">
      <c r="C1752" s="534"/>
    </row>
    <row r="1753" ht="15">
      <c r="C1753" s="534"/>
    </row>
    <row r="1754" ht="15">
      <c r="C1754" s="534"/>
    </row>
    <row r="1755" ht="15">
      <c r="C1755" s="534"/>
    </row>
    <row r="1756" ht="15">
      <c r="C1756" s="534"/>
    </row>
    <row r="1757" ht="15">
      <c r="C1757" s="534"/>
    </row>
    <row r="1758" ht="15">
      <c r="C1758" s="534"/>
    </row>
    <row r="1759" ht="15">
      <c r="C1759" s="534"/>
    </row>
    <row r="1760" ht="15">
      <c r="C1760" s="534"/>
    </row>
    <row r="1761" ht="15">
      <c r="C1761" s="534"/>
    </row>
    <row r="1762" ht="15">
      <c r="C1762" s="534"/>
    </row>
    <row r="1763" ht="15">
      <c r="C1763" s="534"/>
    </row>
    <row r="1764" ht="15">
      <c r="C1764" s="534"/>
    </row>
    <row r="1765" ht="15">
      <c r="C1765" s="534"/>
    </row>
    <row r="1766" ht="15">
      <c r="C1766" s="534"/>
    </row>
    <row r="1767" ht="15">
      <c r="C1767" s="534"/>
    </row>
    <row r="1768" ht="15">
      <c r="C1768" s="534"/>
    </row>
    <row r="1769" ht="15">
      <c r="C1769" s="534"/>
    </row>
    <row r="1770" ht="15">
      <c r="C1770" s="534"/>
    </row>
    <row r="1771" ht="15">
      <c r="C1771" s="534"/>
    </row>
    <row r="1772" ht="15">
      <c r="C1772" s="534"/>
    </row>
    <row r="1773" ht="15">
      <c r="C1773" s="534"/>
    </row>
    <row r="1774" ht="15">
      <c r="C1774" s="534"/>
    </row>
    <row r="1775" ht="15">
      <c r="C1775" s="534"/>
    </row>
    <row r="1776" ht="15">
      <c r="C1776" s="534"/>
    </row>
    <row r="1777" ht="15">
      <c r="C1777" s="534"/>
    </row>
    <row r="1778" ht="15">
      <c r="C1778" s="534"/>
    </row>
    <row r="1779" ht="15">
      <c r="C1779" s="534"/>
    </row>
    <row r="1780" ht="15">
      <c r="C1780" s="534"/>
    </row>
    <row r="1781" ht="15">
      <c r="C1781" s="534"/>
    </row>
    <row r="1782" ht="15">
      <c r="C1782" s="534"/>
    </row>
    <row r="1783" ht="15">
      <c r="C1783" s="534"/>
    </row>
    <row r="1784" ht="15">
      <c r="C1784" s="534"/>
    </row>
    <row r="1785" ht="15">
      <c r="C1785" s="534"/>
    </row>
    <row r="1786" ht="15">
      <c r="C1786" s="534"/>
    </row>
    <row r="1787" ht="15">
      <c r="C1787" s="534"/>
    </row>
    <row r="1788" ht="15">
      <c r="C1788" s="534"/>
    </row>
    <row r="1789" ht="15">
      <c r="C1789" s="534"/>
    </row>
    <row r="1790" ht="15">
      <c r="C1790" s="534"/>
    </row>
    <row r="1791" ht="15">
      <c r="C1791" s="534"/>
    </row>
    <row r="1792" ht="15">
      <c r="C1792" s="534"/>
    </row>
    <row r="1793" ht="15">
      <c r="C1793" s="534"/>
    </row>
    <row r="1794" ht="15">
      <c r="C1794" s="534"/>
    </row>
    <row r="1795" ht="15">
      <c r="C1795" s="534"/>
    </row>
    <row r="1796" ht="15">
      <c r="C1796" s="534"/>
    </row>
    <row r="1797" ht="15">
      <c r="C1797" s="534"/>
    </row>
    <row r="1798" ht="15">
      <c r="C1798" s="534"/>
    </row>
    <row r="1799" ht="15">
      <c r="C1799" s="534"/>
    </row>
    <row r="1800" ht="15">
      <c r="C1800" s="534"/>
    </row>
    <row r="1801" ht="15">
      <c r="C1801" s="534"/>
    </row>
    <row r="1802" ht="15">
      <c r="C1802" s="534"/>
    </row>
    <row r="1803" ht="15">
      <c r="C1803" s="534"/>
    </row>
    <row r="1804" ht="15">
      <c r="C1804" s="534"/>
    </row>
    <row r="1805" ht="15">
      <c r="C1805" s="534"/>
    </row>
    <row r="1806" ht="15">
      <c r="C1806" s="534"/>
    </row>
    <row r="1807" ht="15">
      <c r="C1807" s="534"/>
    </row>
    <row r="1808" ht="15">
      <c r="C1808" s="534"/>
    </row>
    <row r="1809" ht="15">
      <c r="C1809" s="534"/>
    </row>
    <row r="1810" ht="15">
      <c r="C1810" s="534"/>
    </row>
    <row r="1811" ht="15">
      <c r="C1811" s="534"/>
    </row>
    <row r="1812" ht="15">
      <c r="C1812" s="534"/>
    </row>
    <row r="1813" ht="15">
      <c r="C1813" s="534"/>
    </row>
    <row r="1814" ht="15">
      <c r="C1814" s="534"/>
    </row>
    <row r="1815" ht="15">
      <c r="C1815" s="534"/>
    </row>
    <row r="1816" ht="15">
      <c r="C1816" s="534"/>
    </row>
    <row r="1817" ht="15">
      <c r="C1817" s="534"/>
    </row>
    <row r="1818" ht="15">
      <c r="C1818" s="534"/>
    </row>
    <row r="1819" ht="15">
      <c r="C1819" s="534"/>
    </row>
    <row r="1820" ht="15">
      <c r="C1820" s="534"/>
    </row>
    <row r="1821" ht="15">
      <c r="C1821" s="534"/>
    </row>
    <row r="1822" ht="15">
      <c r="C1822" s="534"/>
    </row>
    <row r="1823" ht="15">
      <c r="C1823" s="534"/>
    </row>
    <row r="1824" ht="15">
      <c r="C1824" s="534"/>
    </row>
    <row r="1825" ht="15">
      <c r="C1825" s="534"/>
    </row>
    <row r="1826" ht="15">
      <c r="C1826" s="534"/>
    </row>
    <row r="1827" ht="15">
      <c r="C1827" s="534"/>
    </row>
    <row r="1828" ht="15">
      <c r="C1828" s="534"/>
    </row>
    <row r="1829" ht="15">
      <c r="C1829" s="534"/>
    </row>
    <row r="1830" ht="15">
      <c r="C1830" s="534"/>
    </row>
    <row r="1831" ht="15">
      <c r="C1831" s="534"/>
    </row>
    <row r="1832" ht="15">
      <c r="C1832" s="534"/>
    </row>
    <row r="1833" ht="15">
      <c r="C1833" s="534"/>
    </row>
    <row r="1834" ht="15">
      <c r="C1834" s="534"/>
    </row>
    <row r="1835" ht="15">
      <c r="C1835" s="534"/>
    </row>
    <row r="1836" ht="15">
      <c r="C1836" s="534"/>
    </row>
    <row r="1837" ht="15">
      <c r="C1837" s="534"/>
    </row>
    <row r="1838" ht="15">
      <c r="C1838" s="534"/>
    </row>
    <row r="1839" ht="15">
      <c r="C1839" s="534"/>
    </row>
    <row r="1840" ht="15">
      <c r="C1840" s="534"/>
    </row>
    <row r="1841" ht="15">
      <c r="C1841" s="534"/>
    </row>
    <row r="1842" ht="15">
      <c r="C1842" s="534"/>
    </row>
    <row r="1843" ht="15">
      <c r="C1843" s="534"/>
    </row>
    <row r="1844" ht="15">
      <c r="C1844" s="534"/>
    </row>
    <row r="1845" ht="15">
      <c r="C1845" s="534"/>
    </row>
    <row r="1846" ht="15">
      <c r="C1846" s="534"/>
    </row>
    <row r="1847" ht="15">
      <c r="C1847" s="534"/>
    </row>
    <row r="1848" ht="15">
      <c r="C1848" s="534"/>
    </row>
    <row r="1849" ht="15">
      <c r="C1849" s="534"/>
    </row>
    <row r="1850" ht="15">
      <c r="C1850" s="534"/>
    </row>
    <row r="1851" ht="15">
      <c r="C1851" s="534"/>
    </row>
    <row r="1852" ht="15">
      <c r="C1852" s="534"/>
    </row>
    <row r="1853" ht="15">
      <c r="C1853" s="534"/>
    </row>
    <row r="1854" ht="15">
      <c r="C1854" s="534"/>
    </row>
    <row r="1855" ht="15">
      <c r="C1855" s="534"/>
    </row>
    <row r="1856" ht="15">
      <c r="C1856" s="534"/>
    </row>
    <row r="1857" ht="15">
      <c r="C1857" s="534"/>
    </row>
    <row r="1858" ht="15">
      <c r="C1858" s="534"/>
    </row>
    <row r="1859" ht="15">
      <c r="C1859" s="534"/>
    </row>
    <row r="1860" ht="15">
      <c r="C1860" s="534"/>
    </row>
    <row r="1861" ht="15">
      <c r="C1861" s="534"/>
    </row>
    <row r="1862" ht="15">
      <c r="C1862" s="534"/>
    </row>
    <row r="1863" ht="15">
      <c r="C1863" s="534"/>
    </row>
    <row r="1864" ht="15">
      <c r="C1864" s="534"/>
    </row>
    <row r="1865" ht="15">
      <c r="C1865" s="534"/>
    </row>
    <row r="1866" ht="15">
      <c r="C1866" s="534"/>
    </row>
    <row r="1867" ht="15">
      <c r="C1867" s="534"/>
    </row>
    <row r="1868" ht="15">
      <c r="C1868" s="534"/>
    </row>
    <row r="1869" ht="15">
      <c r="C1869" s="534"/>
    </row>
    <row r="1870" ht="15">
      <c r="C1870" s="534"/>
    </row>
    <row r="1871" ht="15">
      <c r="C1871" s="534"/>
    </row>
    <row r="1872" ht="15">
      <c r="C1872" s="534"/>
    </row>
    <row r="1873" ht="15">
      <c r="C1873" s="534"/>
    </row>
    <row r="1874" ht="15">
      <c r="C1874" s="534"/>
    </row>
    <row r="1875" ht="15">
      <c r="C1875" s="534"/>
    </row>
    <row r="1876" ht="15">
      <c r="C1876" s="534"/>
    </row>
    <row r="1877" ht="15">
      <c r="C1877" s="534"/>
    </row>
    <row r="1878" ht="15">
      <c r="C1878" s="534"/>
    </row>
    <row r="1879" ht="15">
      <c r="C1879" s="534"/>
    </row>
    <row r="1880" ht="15">
      <c r="C1880" s="534"/>
    </row>
    <row r="1881" ht="15">
      <c r="C1881" s="534"/>
    </row>
    <row r="1882" ht="15">
      <c r="C1882" s="534"/>
    </row>
    <row r="1883" ht="15">
      <c r="C1883" s="534"/>
    </row>
    <row r="1884" ht="15">
      <c r="C1884" s="534"/>
    </row>
    <row r="1885" ht="15">
      <c r="C1885" s="534"/>
    </row>
    <row r="1886" ht="15">
      <c r="C1886" s="534"/>
    </row>
    <row r="1887" ht="15">
      <c r="C1887" s="534"/>
    </row>
    <row r="1888" ht="15">
      <c r="C1888" s="534"/>
    </row>
    <row r="1889" ht="15">
      <c r="C1889" s="534"/>
    </row>
    <row r="1890" ht="15">
      <c r="C1890" s="534"/>
    </row>
    <row r="1891" ht="15">
      <c r="C1891" s="534"/>
    </row>
    <row r="1892" ht="15">
      <c r="C1892" s="534"/>
    </row>
    <row r="1893" ht="15">
      <c r="C1893" s="534"/>
    </row>
    <row r="1894" ht="15">
      <c r="C1894" s="534"/>
    </row>
    <row r="1895" ht="15">
      <c r="C1895" s="534"/>
    </row>
    <row r="1896" ht="15">
      <c r="C1896" s="534"/>
    </row>
    <row r="1897" ht="15">
      <c r="C1897" s="534"/>
    </row>
    <row r="1898" ht="15">
      <c r="C1898" s="534"/>
    </row>
    <row r="1899" ht="15">
      <c r="C1899" s="534"/>
    </row>
    <row r="1900" ht="15">
      <c r="C1900" s="534"/>
    </row>
    <row r="1901" ht="15">
      <c r="C1901" s="534"/>
    </row>
    <row r="1902" ht="15">
      <c r="C1902" s="534"/>
    </row>
    <row r="1903" ht="15">
      <c r="C1903" s="534"/>
    </row>
    <row r="1904" ht="15">
      <c r="C1904" s="534"/>
    </row>
    <row r="1905" ht="15">
      <c r="C1905" s="534"/>
    </row>
    <row r="1906" ht="15">
      <c r="C1906" s="534"/>
    </row>
    <row r="1907" ht="15">
      <c r="C1907" s="534"/>
    </row>
    <row r="1908" ht="15">
      <c r="C1908" s="534"/>
    </row>
    <row r="1909" ht="15">
      <c r="C1909" s="534"/>
    </row>
    <row r="1910" ht="15">
      <c r="C1910" s="534"/>
    </row>
    <row r="1911" ht="15">
      <c r="C1911" s="534"/>
    </row>
    <row r="1912" ht="15">
      <c r="C1912" s="534"/>
    </row>
    <row r="1913" ht="15">
      <c r="C1913" s="534"/>
    </row>
    <row r="1914" ht="15">
      <c r="C1914" s="534"/>
    </row>
    <row r="1915" ht="15">
      <c r="C1915" s="534"/>
    </row>
    <row r="1916" ht="15">
      <c r="C1916" s="534"/>
    </row>
    <row r="1917" ht="15">
      <c r="C1917" s="534"/>
    </row>
    <row r="1918" ht="15">
      <c r="C1918" s="534"/>
    </row>
    <row r="1919" ht="15">
      <c r="C1919" s="534"/>
    </row>
    <row r="1920" ht="15">
      <c r="C1920" s="534"/>
    </row>
    <row r="1921" ht="15">
      <c r="C1921" s="534"/>
    </row>
    <row r="1922" ht="15">
      <c r="C1922" s="534"/>
    </row>
    <row r="1923" ht="15">
      <c r="C1923" s="534"/>
    </row>
    <row r="1924" ht="15">
      <c r="C1924" s="534"/>
    </row>
    <row r="1925" ht="15">
      <c r="C1925" s="534"/>
    </row>
    <row r="1926" ht="15">
      <c r="C1926" s="534"/>
    </row>
    <row r="1927" ht="15">
      <c r="C1927" s="534"/>
    </row>
    <row r="1928" ht="15">
      <c r="C1928" s="534"/>
    </row>
    <row r="1929" ht="15">
      <c r="C1929" s="534"/>
    </row>
    <row r="1930" ht="15">
      <c r="C1930" s="534"/>
    </row>
    <row r="1931" ht="15">
      <c r="C1931" s="534"/>
    </row>
    <row r="1932" ht="15">
      <c r="C1932" s="534"/>
    </row>
    <row r="1933" ht="15">
      <c r="C1933" s="534"/>
    </row>
    <row r="1934" ht="15">
      <c r="C1934" s="534"/>
    </row>
    <row r="1935" ht="15">
      <c r="C1935" s="534"/>
    </row>
    <row r="1936" ht="15">
      <c r="C1936" s="534"/>
    </row>
    <row r="1937" ht="15">
      <c r="C1937" s="534"/>
    </row>
    <row r="1938" ht="15">
      <c r="C1938" s="534"/>
    </row>
    <row r="1939" ht="15">
      <c r="C1939" s="534"/>
    </row>
    <row r="1940" ht="15">
      <c r="C1940" s="534"/>
    </row>
    <row r="1941" ht="15">
      <c r="C1941" s="534"/>
    </row>
    <row r="1942" ht="15">
      <c r="C1942" s="534"/>
    </row>
    <row r="1943" ht="15">
      <c r="C1943" s="534"/>
    </row>
    <row r="1944" ht="15">
      <c r="C1944" s="534"/>
    </row>
    <row r="1945" ht="15">
      <c r="C1945" s="534"/>
    </row>
    <row r="1946" ht="15">
      <c r="C1946" s="534"/>
    </row>
    <row r="1947" ht="15">
      <c r="C1947" s="534"/>
    </row>
    <row r="1948" ht="15">
      <c r="C1948" s="534"/>
    </row>
    <row r="1949" ht="15">
      <c r="C1949" s="534"/>
    </row>
    <row r="1950" ht="15">
      <c r="C1950" s="534"/>
    </row>
    <row r="1951" ht="15">
      <c r="C1951" s="534"/>
    </row>
    <row r="1952" ht="15">
      <c r="C1952" s="534"/>
    </row>
    <row r="1953" ht="15">
      <c r="C1953" s="534"/>
    </row>
    <row r="1954" ht="15">
      <c r="C1954" s="534"/>
    </row>
    <row r="1955" ht="15">
      <c r="C1955" s="534"/>
    </row>
    <row r="1956" ht="15">
      <c r="C1956" s="534"/>
    </row>
    <row r="1957" ht="15">
      <c r="C1957" s="534"/>
    </row>
    <row r="1958" ht="15">
      <c r="C1958" s="534"/>
    </row>
    <row r="1959" ht="15">
      <c r="C1959" s="534"/>
    </row>
    <row r="1960" ht="15">
      <c r="C1960" s="534"/>
    </row>
    <row r="1961" ht="15">
      <c r="C1961" s="534"/>
    </row>
    <row r="1962" ht="15">
      <c r="C1962" s="534"/>
    </row>
    <row r="1963" ht="15">
      <c r="C1963" s="534"/>
    </row>
    <row r="1964" ht="15">
      <c r="C1964" s="534"/>
    </row>
    <row r="1965" ht="15">
      <c r="C1965" s="534"/>
    </row>
    <row r="1966" ht="15">
      <c r="C1966" s="534"/>
    </row>
    <row r="1967" ht="15">
      <c r="C1967" s="534"/>
    </row>
    <row r="1968" ht="15">
      <c r="C1968" s="534"/>
    </row>
    <row r="1969" ht="15">
      <c r="C1969" s="534"/>
    </row>
    <row r="1970" ht="15">
      <c r="C1970" s="534"/>
    </row>
    <row r="1971" ht="15">
      <c r="C1971" s="534"/>
    </row>
    <row r="1972" ht="15">
      <c r="C1972" s="534"/>
    </row>
    <row r="1973" ht="15">
      <c r="C1973" s="534"/>
    </row>
    <row r="1974" ht="15">
      <c r="C1974" s="534"/>
    </row>
    <row r="1975" ht="15">
      <c r="C1975" s="534"/>
    </row>
    <row r="1976" ht="15">
      <c r="C1976" s="534"/>
    </row>
    <row r="1977" ht="15">
      <c r="C1977" s="534"/>
    </row>
    <row r="1978" ht="15">
      <c r="C1978" s="534"/>
    </row>
    <row r="1979" ht="15">
      <c r="C1979" s="534"/>
    </row>
    <row r="1980" ht="15">
      <c r="C1980" s="534"/>
    </row>
    <row r="1981" ht="15">
      <c r="C1981" s="534"/>
    </row>
    <row r="1982" ht="15">
      <c r="C1982" s="534"/>
    </row>
    <row r="1983" ht="15">
      <c r="C1983" s="534"/>
    </row>
    <row r="1984" ht="15">
      <c r="C1984" s="534"/>
    </row>
    <row r="1985" ht="15">
      <c r="C1985" s="534"/>
    </row>
    <row r="1986" ht="15">
      <c r="C1986" s="534"/>
    </row>
    <row r="1987" ht="15">
      <c r="C1987" s="534"/>
    </row>
    <row r="1988" ht="15">
      <c r="C1988" s="534"/>
    </row>
    <row r="1989" ht="15">
      <c r="C1989" s="534"/>
    </row>
    <row r="1990" ht="15">
      <c r="C1990" s="534"/>
    </row>
    <row r="1991" ht="15">
      <c r="C1991" s="534"/>
    </row>
    <row r="1992" ht="15">
      <c r="C1992" s="534"/>
    </row>
    <row r="1993" ht="15">
      <c r="C1993" s="534"/>
    </row>
    <row r="1994" ht="15">
      <c r="C1994" s="534"/>
    </row>
    <row r="1995" ht="15">
      <c r="C1995" s="534"/>
    </row>
    <row r="1996" ht="15">
      <c r="C1996" s="534"/>
    </row>
    <row r="1997" ht="15">
      <c r="C1997" s="534"/>
    </row>
    <row r="1998" ht="15">
      <c r="C1998" s="534"/>
    </row>
    <row r="1999" ht="15">
      <c r="C1999" s="534"/>
    </row>
    <row r="2000" ht="15">
      <c r="C2000" s="534"/>
    </row>
    <row r="2001" ht="15">
      <c r="C2001" s="534"/>
    </row>
    <row r="2002" ht="15">
      <c r="C2002" s="534"/>
    </row>
    <row r="2003" ht="15">
      <c r="C2003" s="534"/>
    </row>
    <row r="2004" ht="15">
      <c r="C2004" s="534"/>
    </row>
    <row r="2005" ht="15">
      <c r="C2005" s="534"/>
    </row>
    <row r="2006" ht="15">
      <c r="C2006" s="534"/>
    </row>
    <row r="2007" ht="15">
      <c r="C2007" s="534"/>
    </row>
    <row r="2008" ht="15">
      <c r="C2008" s="534"/>
    </row>
    <row r="2009" ht="15">
      <c r="C2009" s="534"/>
    </row>
    <row r="2010" ht="15">
      <c r="C2010" s="534"/>
    </row>
    <row r="2011" ht="15">
      <c r="C2011" s="534"/>
    </row>
    <row r="2012" ht="15">
      <c r="C2012" s="534"/>
    </row>
    <row r="2013" ht="15">
      <c r="C2013" s="534"/>
    </row>
    <row r="2014" ht="15">
      <c r="C2014" s="534"/>
    </row>
    <row r="2015" ht="15">
      <c r="C2015" s="534"/>
    </row>
    <row r="2016" ht="15">
      <c r="C2016" s="534"/>
    </row>
    <row r="2017" ht="15">
      <c r="C2017" s="534"/>
    </row>
    <row r="2018" ht="15">
      <c r="C2018" s="534"/>
    </row>
    <row r="2019" ht="15">
      <c r="C2019" s="534"/>
    </row>
    <row r="2020" ht="15">
      <c r="C2020" s="534"/>
    </row>
    <row r="2021" ht="15">
      <c r="C2021" s="534"/>
    </row>
    <row r="2022" ht="15">
      <c r="C2022" s="534"/>
    </row>
    <row r="2023" ht="15">
      <c r="C2023" s="534"/>
    </row>
    <row r="2024" ht="15">
      <c r="C2024" s="534"/>
    </row>
    <row r="2025" ht="15">
      <c r="C2025" s="534"/>
    </row>
    <row r="2026" ht="15">
      <c r="C2026" s="534"/>
    </row>
    <row r="2027" ht="15">
      <c r="C2027" s="534"/>
    </row>
    <row r="2028" ht="15">
      <c r="C2028" s="534"/>
    </row>
    <row r="2029" ht="15">
      <c r="C2029" s="534"/>
    </row>
    <row r="2030" ht="15">
      <c r="C2030" s="534"/>
    </row>
    <row r="2031" ht="15">
      <c r="C2031" s="534"/>
    </row>
    <row r="2032" ht="15">
      <c r="C2032" s="534"/>
    </row>
    <row r="2033" ht="15">
      <c r="C2033" s="534"/>
    </row>
    <row r="2034" ht="15">
      <c r="C2034" s="534"/>
    </row>
    <row r="2035" ht="15">
      <c r="C2035" s="534"/>
    </row>
    <row r="2036" ht="15">
      <c r="C2036" s="534"/>
    </row>
    <row r="2037" ht="15">
      <c r="C2037" s="534"/>
    </row>
    <row r="2038" ht="15">
      <c r="C2038" s="534"/>
    </row>
    <row r="2039" ht="15">
      <c r="C2039" s="534"/>
    </row>
    <row r="2040" ht="15">
      <c r="C2040" s="534"/>
    </row>
    <row r="2041" ht="15">
      <c r="C2041" s="534"/>
    </row>
    <row r="2042" ht="15">
      <c r="C2042" s="534"/>
    </row>
    <row r="2043" ht="15">
      <c r="C2043" s="534"/>
    </row>
    <row r="2044" ht="15">
      <c r="C2044" s="534"/>
    </row>
    <row r="2045" ht="15">
      <c r="C2045" s="534"/>
    </row>
    <row r="2046" ht="15">
      <c r="C2046" s="534"/>
    </row>
    <row r="2047" ht="15">
      <c r="C2047" s="534"/>
    </row>
    <row r="2048" ht="15">
      <c r="C2048" s="534"/>
    </row>
    <row r="2049" ht="15">
      <c r="C2049" s="534"/>
    </row>
    <row r="2050" ht="15">
      <c r="C2050" s="534"/>
    </row>
    <row r="2051" ht="15">
      <c r="C2051" s="534"/>
    </row>
    <row r="2052" ht="15">
      <c r="C2052" s="534"/>
    </row>
    <row r="2053" ht="15">
      <c r="C2053" s="534"/>
    </row>
    <row r="2054" ht="15">
      <c r="C2054" s="534"/>
    </row>
    <row r="2055" ht="15">
      <c r="C2055" s="534"/>
    </row>
    <row r="2056" ht="15">
      <c r="C2056" s="534"/>
    </row>
    <row r="2057" ht="15">
      <c r="C2057" s="534"/>
    </row>
    <row r="2058" ht="15">
      <c r="C2058" s="534"/>
    </row>
    <row r="2059" ht="15">
      <c r="C2059" s="534"/>
    </row>
    <row r="2060" ht="15">
      <c r="C2060" s="534"/>
    </row>
    <row r="2061" ht="15">
      <c r="C2061" s="534"/>
    </row>
    <row r="2062" ht="15">
      <c r="C2062" s="534"/>
    </row>
    <row r="2063" ht="15">
      <c r="C2063" s="534"/>
    </row>
    <row r="2064" ht="15">
      <c r="C2064" s="534"/>
    </row>
    <row r="2065" ht="15">
      <c r="C2065" s="534"/>
    </row>
    <row r="2066" ht="15">
      <c r="C2066" s="534"/>
    </row>
    <row r="2067" ht="15">
      <c r="C2067" s="534"/>
    </row>
    <row r="2068" ht="15">
      <c r="C2068" s="534"/>
    </row>
    <row r="2069" ht="15">
      <c r="C2069" s="534"/>
    </row>
    <row r="2070" ht="15">
      <c r="C2070" s="534"/>
    </row>
    <row r="2071" ht="15">
      <c r="C2071" s="534"/>
    </row>
    <row r="2072" ht="15">
      <c r="C2072" s="534"/>
    </row>
    <row r="2073" ht="15">
      <c r="C2073" s="534"/>
    </row>
    <row r="2074" ht="15">
      <c r="C2074" s="534"/>
    </row>
    <row r="2075" ht="15">
      <c r="C2075" s="534"/>
    </row>
    <row r="2076" ht="15">
      <c r="C2076" s="534"/>
    </row>
    <row r="2077" ht="15">
      <c r="C2077" s="534"/>
    </row>
    <row r="2078" ht="15">
      <c r="C2078" s="534"/>
    </row>
    <row r="2079" ht="15">
      <c r="C2079" s="534"/>
    </row>
    <row r="2080" ht="15">
      <c r="C2080" s="534"/>
    </row>
    <row r="2081" ht="15">
      <c r="C2081" s="534"/>
    </row>
    <row r="2082" ht="15">
      <c r="C2082" s="534"/>
    </row>
    <row r="2083" ht="15">
      <c r="C2083" s="534"/>
    </row>
    <row r="2084" ht="15">
      <c r="C2084" s="534"/>
    </row>
    <row r="2085" ht="15">
      <c r="C2085" s="534"/>
    </row>
    <row r="2086" ht="15">
      <c r="C2086" s="534"/>
    </row>
    <row r="2087" ht="15">
      <c r="C2087" s="534"/>
    </row>
    <row r="2088" ht="15">
      <c r="C2088" s="534"/>
    </row>
    <row r="2089" ht="15">
      <c r="C2089" s="534"/>
    </row>
    <row r="2090" ht="15">
      <c r="C2090" s="534"/>
    </row>
    <row r="2091" ht="15">
      <c r="C2091" s="534"/>
    </row>
    <row r="2092" ht="15">
      <c r="C2092" s="534"/>
    </row>
    <row r="2093" ht="15">
      <c r="C2093" s="534"/>
    </row>
    <row r="2094" ht="15">
      <c r="C2094" s="534"/>
    </row>
    <row r="2095" ht="15">
      <c r="C2095" s="534"/>
    </row>
    <row r="2096" ht="15">
      <c r="C2096" s="534"/>
    </row>
    <row r="2097" ht="15">
      <c r="C2097" s="534"/>
    </row>
    <row r="2098" ht="15">
      <c r="C2098" s="534"/>
    </row>
    <row r="2099" ht="15">
      <c r="C2099" s="534"/>
    </row>
    <row r="2100" ht="15">
      <c r="C2100" s="534"/>
    </row>
    <row r="2101" ht="15">
      <c r="C2101" s="534"/>
    </row>
    <row r="2102" ht="15">
      <c r="C2102" s="534"/>
    </row>
    <row r="2103" ht="15">
      <c r="C2103" s="534"/>
    </row>
    <row r="2104" ht="15">
      <c r="C2104" s="534"/>
    </row>
    <row r="2105" ht="15">
      <c r="C2105" s="534"/>
    </row>
    <row r="2106" ht="15">
      <c r="C2106" s="534"/>
    </row>
    <row r="2107" ht="15">
      <c r="C2107" s="534"/>
    </row>
    <row r="2108" ht="15">
      <c r="C2108" s="534"/>
    </row>
    <row r="2109" ht="15">
      <c r="C2109" s="534"/>
    </row>
    <row r="2110" ht="15">
      <c r="C2110" s="534"/>
    </row>
    <row r="2111" ht="15">
      <c r="C2111" s="534"/>
    </row>
    <row r="2112" ht="15">
      <c r="C2112" s="534"/>
    </row>
    <row r="2113" ht="15">
      <c r="C2113" s="534"/>
    </row>
    <row r="2114" ht="15">
      <c r="C2114" s="534"/>
    </row>
    <row r="2115" ht="15">
      <c r="C2115" s="534"/>
    </row>
    <row r="2116" ht="15">
      <c r="C2116" s="534"/>
    </row>
    <row r="2117" ht="15">
      <c r="C2117" s="534"/>
    </row>
    <row r="2118" ht="15">
      <c r="C2118" s="534"/>
    </row>
    <row r="2119" ht="15">
      <c r="C2119" s="534"/>
    </row>
    <row r="2120" ht="15">
      <c r="C2120" s="534"/>
    </row>
    <row r="2121" ht="15">
      <c r="C2121" s="534"/>
    </row>
    <row r="2122" ht="15">
      <c r="C2122" s="534"/>
    </row>
    <row r="2123" ht="15">
      <c r="C2123" s="534"/>
    </row>
    <row r="2124" ht="15">
      <c r="C2124" s="534"/>
    </row>
    <row r="2125" ht="15">
      <c r="C2125" s="534"/>
    </row>
    <row r="2126" ht="15">
      <c r="C2126" s="534"/>
    </row>
    <row r="2127" ht="15">
      <c r="C2127" s="534"/>
    </row>
    <row r="2128" ht="15">
      <c r="C2128" s="534"/>
    </row>
    <row r="2129" ht="15">
      <c r="C2129" s="534"/>
    </row>
    <row r="2130" ht="15">
      <c r="C2130" s="534"/>
    </row>
    <row r="2131" ht="15">
      <c r="C2131" s="534"/>
    </row>
    <row r="2132" ht="15">
      <c r="C2132" s="534"/>
    </row>
    <row r="2133" ht="15">
      <c r="C2133" s="534"/>
    </row>
    <row r="2134" ht="15">
      <c r="C2134" s="534"/>
    </row>
    <row r="2135" ht="15">
      <c r="C2135" s="534"/>
    </row>
    <row r="2136" ht="15">
      <c r="C2136" s="534"/>
    </row>
    <row r="2137" ht="15">
      <c r="C2137" s="534"/>
    </row>
    <row r="2138" ht="15">
      <c r="C2138" s="534"/>
    </row>
    <row r="2139" ht="15">
      <c r="C2139" s="534"/>
    </row>
    <row r="2140" ht="15">
      <c r="C2140" s="534"/>
    </row>
    <row r="2141" ht="15">
      <c r="C2141" s="534"/>
    </row>
    <row r="2142" ht="15">
      <c r="C2142" s="534"/>
    </row>
    <row r="2143" ht="15">
      <c r="C2143" s="534"/>
    </row>
    <row r="2144" ht="15">
      <c r="C2144" s="534"/>
    </row>
    <row r="2145" ht="15">
      <c r="C2145" s="534"/>
    </row>
    <row r="2146" ht="15">
      <c r="C2146" s="534"/>
    </row>
    <row r="2147" ht="15">
      <c r="C2147" s="534"/>
    </row>
    <row r="2148" ht="15">
      <c r="C2148" s="534"/>
    </row>
    <row r="2149" ht="15">
      <c r="C2149" s="534"/>
    </row>
    <row r="2150" ht="15">
      <c r="C2150" s="534"/>
    </row>
    <row r="2151" ht="15">
      <c r="C2151" s="534"/>
    </row>
    <row r="2152" ht="15">
      <c r="C2152" s="534"/>
    </row>
    <row r="2153" ht="15">
      <c r="C2153" s="534"/>
    </row>
    <row r="2154" ht="15">
      <c r="C2154" s="534"/>
    </row>
    <row r="2155" ht="15">
      <c r="C2155" s="534"/>
    </row>
    <row r="2156" ht="15">
      <c r="C2156" s="534"/>
    </row>
    <row r="2157" ht="15">
      <c r="C2157" s="534"/>
    </row>
    <row r="2158" ht="15">
      <c r="C2158" s="534"/>
    </row>
    <row r="2159" ht="15">
      <c r="C2159" s="534"/>
    </row>
    <row r="2160" ht="15">
      <c r="C2160" s="534"/>
    </row>
    <row r="2161" ht="15">
      <c r="C2161" s="534"/>
    </row>
    <row r="2162" ht="15">
      <c r="C2162" s="534"/>
    </row>
    <row r="2163" ht="15">
      <c r="C2163" s="534"/>
    </row>
    <row r="2164" ht="15">
      <c r="C2164" s="534"/>
    </row>
    <row r="2165" ht="15">
      <c r="C2165" s="534"/>
    </row>
    <row r="2166" ht="15">
      <c r="C2166" s="534"/>
    </row>
    <row r="2167" ht="15">
      <c r="C2167" s="534"/>
    </row>
    <row r="2168" ht="15">
      <c r="C2168" s="534"/>
    </row>
    <row r="2169" ht="15">
      <c r="C2169" s="534"/>
    </row>
    <row r="2170" ht="15">
      <c r="C2170" s="534"/>
    </row>
    <row r="2171" ht="15">
      <c r="C2171" s="534"/>
    </row>
    <row r="2172" ht="15">
      <c r="C2172" s="534"/>
    </row>
    <row r="2173" ht="15">
      <c r="C2173" s="534"/>
    </row>
    <row r="2174" ht="15">
      <c r="C2174" s="534"/>
    </row>
    <row r="2175" ht="15">
      <c r="C2175" s="534"/>
    </row>
    <row r="2176" ht="15">
      <c r="C2176" s="534"/>
    </row>
    <row r="2177" ht="15">
      <c r="C2177" s="534"/>
    </row>
    <row r="2178" ht="15">
      <c r="C2178" s="534"/>
    </row>
    <row r="2179" ht="15">
      <c r="C2179" s="534"/>
    </row>
    <row r="2180" ht="15">
      <c r="C2180" s="534"/>
    </row>
    <row r="2181" ht="15">
      <c r="C2181" s="534"/>
    </row>
    <row r="2182" ht="15">
      <c r="C2182" s="534"/>
    </row>
    <row r="2183" ht="15">
      <c r="C2183" s="534"/>
    </row>
    <row r="2184" ht="15">
      <c r="C2184" s="534"/>
    </row>
    <row r="2185" ht="15">
      <c r="C2185" s="534"/>
    </row>
    <row r="2186" ht="15">
      <c r="C2186" s="534"/>
    </row>
    <row r="2187" ht="15">
      <c r="C2187" s="534"/>
    </row>
    <row r="2188" ht="15">
      <c r="C2188" s="534"/>
    </row>
    <row r="2189" ht="15">
      <c r="C2189" s="534"/>
    </row>
    <row r="2190" ht="15">
      <c r="C2190" s="534"/>
    </row>
    <row r="2191" ht="15">
      <c r="C2191" s="534"/>
    </row>
    <row r="2192" ht="15">
      <c r="C2192" s="534"/>
    </row>
    <row r="2193" ht="15">
      <c r="C2193" s="534"/>
    </row>
    <row r="2194" ht="15">
      <c r="C2194" s="534"/>
    </row>
    <row r="2195" ht="15">
      <c r="C2195" s="534"/>
    </row>
    <row r="2196" ht="15">
      <c r="C2196" s="534"/>
    </row>
    <row r="2197" ht="15">
      <c r="C2197" s="534"/>
    </row>
    <row r="2198" ht="15">
      <c r="C2198" s="534"/>
    </row>
    <row r="2199" ht="15">
      <c r="C2199" s="534"/>
    </row>
    <row r="2200" ht="15">
      <c r="C2200" s="534"/>
    </row>
    <row r="2201" ht="15">
      <c r="C2201" s="534"/>
    </row>
    <row r="2202" ht="15">
      <c r="C2202" s="534"/>
    </row>
    <row r="2203" ht="15">
      <c r="C2203" s="534"/>
    </row>
    <row r="2204" ht="15">
      <c r="C2204" s="534"/>
    </row>
    <row r="2205" ht="15">
      <c r="C2205" s="534"/>
    </row>
    <row r="2206" ht="15">
      <c r="C2206" s="534"/>
    </row>
    <row r="2207" ht="15">
      <c r="C2207" s="534"/>
    </row>
    <row r="2208" ht="15">
      <c r="C2208" s="534"/>
    </row>
    <row r="2209" ht="15">
      <c r="C2209" s="534"/>
    </row>
    <row r="2210" ht="15">
      <c r="C2210" s="534"/>
    </row>
    <row r="2211" ht="15">
      <c r="C2211" s="534"/>
    </row>
    <row r="2212" ht="15">
      <c r="C2212" s="534"/>
    </row>
    <row r="2213" ht="15">
      <c r="C2213" s="534"/>
    </row>
    <row r="2214" ht="15">
      <c r="C2214" s="534"/>
    </row>
    <row r="2215" ht="15">
      <c r="C2215" s="534"/>
    </row>
    <row r="2216" ht="15">
      <c r="C2216" s="534"/>
    </row>
    <row r="2217" ht="15">
      <c r="C2217" s="534"/>
    </row>
    <row r="2218" ht="15">
      <c r="C2218" s="534"/>
    </row>
    <row r="2219" ht="15">
      <c r="C2219" s="534"/>
    </row>
    <row r="2220" ht="15">
      <c r="C2220" s="534"/>
    </row>
    <row r="2221" ht="15">
      <c r="C2221" s="534"/>
    </row>
    <row r="2222" ht="15">
      <c r="C2222" s="534"/>
    </row>
    <row r="2223" ht="15">
      <c r="C2223" s="534"/>
    </row>
    <row r="2224" ht="15">
      <c r="C2224" s="534"/>
    </row>
    <row r="2225" ht="15">
      <c r="C2225" s="534"/>
    </row>
    <row r="2226" ht="15">
      <c r="C2226" s="534"/>
    </row>
    <row r="2227" ht="15">
      <c r="C2227" s="534"/>
    </row>
    <row r="2228" ht="15">
      <c r="C2228" s="534"/>
    </row>
    <row r="2229" ht="15">
      <c r="C2229" s="534"/>
    </row>
    <row r="2230" ht="15">
      <c r="C2230" s="534"/>
    </row>
    <row r="2231" ht="15">
      <c r="C2231" s="534"/>
    </row>
    <row r="2232" ht="15">
      <c r="C2232" s="534"/>
    </row>
    <row r="2233" ht="15">
      <c r="C2233" s="534"/>
    </row>
    <row r="2234" ht="15">
      <c r="C2234" s="534"/>
    </row>
    <row r="2235" ht="15">
      <c r="C2235" s="534"/>
    </row>
    <row r="2236" ht="15">
      <c r="C2236" s="534"/>
    </row>
    <row r="2237" ht="15">
      <c r="C2237" s="534"/>
    </row>
    <row r="2238" ht="15">
      <c r="C2238" s="534"/>
    </row>
    <row r="2239" ht="15">
      <c r="C2239" s="534"/>
    </row>
    <row r="2240" ht="15">
      <c r="C2240" s="534"/>
    </row>
    <row r="2241" ht="15">
      <c r="C2241" s="534"/>
    </row>
    <row r="2242" ht="15">
      <c r="C2242" s="534"/>
    </row>
    <row r="2243" ht="15">
      <c r="C2243" s="534"/>
    </row>
    <row r="2244" ht="15">
      <c r="C2244" s="534"/>
    </row>
    <row r="2245" ht="15">
      <c r="C2245" s="534"/>
    </row>
    <row r="2246" ht="15">
      <c r="C2246" s="534"/>
    </row>
    <row r="2247" ht="15">
      <c r="C2247" s="534"/>
    </row>
    <row r="2248" ht="15">
      <c r="C2248" s="534"/>
    </row>
    <row r="2249" ht="15">
      <c r="C2249" s="534"/>
    </row>
    <row r="2250" ht="15">
      <c r="C2250" s="534"/>
    </row>
    <row r="2251" ht="15">
      <c r="C2251" s="534"/>
    </row>
    <row r="2252" ht="15">
      <c r="C2252" s="534"/>
    </row>
    <row r="2253" ht="15">
      <c r="C2253" s="534"/>
    </row>
    <row r="2254" ht="15">
      <c r="C2254" s="534"/>
    </row>
    <row r="2255" ht="15">
      <c r="C2255" s="534"/>
    </row>
    <row r="2256" ht="15">
      <c r="C2256" s="534"/>
    </row>
    <row r="2257" ht="15">
      <c r="C2257" s="534"/>
    </row>
    <row r="2258" ht="15">
      <c r="C2258" s="534"/>
    </row>
    <row r="2259" ht="15">
      <c r="C2259" s="534"/>
    </row>
    <row r="2260" ht="15">
      <c r="C2260" s="534"/>
    </row>
    <row r="2261" ht="15">
      <c r="C2261" s="534"/>
    </row>
    <row r="2262" ht="15">
      <c r="C2262" s="534"/>
    </row>
    <row r="2263" ht="15">
      <c r="C2263" s="534"/>
    </row>
    <row r="2264" ht="15">
      <c r="C2264" s="534"/>
    </row>
    <row r="2265" ht="15">
      <c r="C2265" s="534"/>
    </row>
    <row r="2266" ht="15">
      <c r="C2266" s="534"/>
    </row>
    <row r="2267" ht="15">
      <c r="C2267" s="534"/>
    </row>
    <row r="2268" ht="15">
      <c r="C2268" s="534"/>
    </row>
    <row r="2269" ht="15">
      <c r="C2269" s="534"/>
    </row>
    <row r="2270" ht="15">
      <c r="C2270" s="534"/>
    </row>
    <row r="2271" ht="15">
      <c r="C2271" s="534"/>
    </row>
    <row r="2272" ht="15">
      <c r="C2272" s="534"/>
    </row>
    <row r="2273" ht="15">
      <c r="C2273" s="534"/>
    </row>
    <row r="2274" ht="15">
      <c r="C2274" s="534"/>
    </row>
    <row r="2275" ht="15">
      <c r="C2275" s="534"/>
    </row>
    <row r="2276" ht="15">
      <c r="C2276" s="534"/>
    </row>
    <row r="2277" ht="15">
      <c r="C2277" s="534"/>
    </row>
    <row r="2278" ht="15">
      <c r="C2278" s="534"/>
    </row>
    <row r="2279" ht="15">
      <c r="C2279" s="534"/>
    </row>
    <row r="2280" ht="15">
      <c r="C2280" s="534"/>
    </row>
    <row r="2281" ht="15">
      <c r="C2281" s="534"/>
    </row>
    <row r="2282" ht="15">
      <c r="C2282" s="534"/>
    </row>
    <row r="2283" ht="15">
      <c r="C2283" s="534"/>
    </row>
    <row r="2284" ht="15">
      <c r="C2284" s="534"/>
    </row>
    <row r="2285" ht="15">
      <c r="C2285" s="534"/>
    </row>
    <row r="2286" ht="15">
      <c r="C2286" s="534"/>
    </row>
    <row r="2287" ht="15">
      <c r="C2287" s="534"/>
    </row>
    <row r="2288" ht="15">
      <c r="C2288" s="534"/>
    </row>
    <row r="2289" ht="15">
      <c r="C2289" s="534"/>
    </row>
    <row r="2290" ht="15">
      <c r="C2290" s="534"/>
    </row>
    <row r="2291" ht="15">
      <c r="C2291" s="534"/>
    </row>
    <row r="2292" ht="15">
      <c r="C2292" s="534"/>
    </row>
    <row r="2293" ht="15">
      <c r="C2293" s="534"/>
    </row>
    <row r="2294" ht="15">
      <c r="C2294" s="534"/>
    </row>
    <row r="2295" ht="15">
      <c r="C2295" s="534"/>
    </row>
    <row r="2296" ht="15">
      <c r="C2296" s="534"/>
    </row>
    <row r="2297" ht="15">
      <c r="C2297" s="534"/>
    </row>
    <row r="2298" ht="15">
      <c r="C2298" s="534"/>
    </row>
    <row r="2299" ht="15">
      <c r="C2299" s="534"/>
    </row>
    <row r="2300" ht="15">
      <c r="C2300" s="534"/>
    </row>
    <row r="2301" ht="15">
      <c r="C2301" s="534"/>
    </row>
    <row r="2302" ht="15">
      <c r="C2302" s="534"/>
    </row>
    <row r="2303" ht="15">
      <c r="C2303" s="534"/>
    </row>
    <row r="2304" ht="15">
      <c r="C2304" s="534"/>
    </row>
    <row r="2305" ht="15">
      <c r="C2305" s="534"/>
    </row>
    <row r="2306" ht="15">
      <c r="C2306" s="534"/>
    </row>
    <row r="2307" ht="15">
      <c r="C2307" s="534"/>
    </row>
    <row r="2308" ht="15">
      <c r="C2308" s="534"/>
    </row>
    <row r="2309" ht="15">
      <c r="C2309" s="534"/>
    </row>
    <row r="2310" ht="15">
      <c r="C2310" s="534"/>
    </row>
    <row r="2311" ht="15">
      <c r="C2311" s="534"/>
    </row>
    <row r="2312" ht="15">
      <c r="C2312" s="534"/>
    </row>
  </sheetData>
  <sheetProtection/>
  <mergeCells count="17">
    <mergeCell ref="A190:B190"/>
    <mergeCell ref="A230:B230"/>
    <mergeCell ref="A232:B232"/>
    <mergeCell ref="A1:C1"/>
    <mergeCell ref="A3:C3"/>
    <mergeCell ref="A39:C39"/>
    <mergeCell ref="A41:C41"/>
    <mergeCell ref="D275:E275"/>
    <mergeCell ref="A276:B276"/>
    <mergeCell ref="A278:B278"/>
    <mergeCell ref="A75:C75"/>
    <mergeCell ref="A77:C77"/>
    <mergeCell ref="A113:C113"/>
    <mergeCell ref="A115:C115"/>
    <mergeCell ref="A154:C154"/>
    <mergeCell ref="A156:C156"/>
    <mergeCell ref="A188:B188"/>
  </mergeCells>
  <printOptions horizontalCentered="1"/>
  <pageMargins left="0.75" right="0.75" top="0.35433070866141736" bottom="1" header="0" footer="0"/>
  <pageSetup horizontalDpi="600" verticalDpi="600" orientation="landscape" paperSize="9" scale="72" r:id="rId1"/>
  <rowBreaks count="7" manualBreakCount="7">
    <brk id="37" max="2" man="1"/>
    <brk id="73" max="2" man="1"/>
    <brk id="111" max="2" man="1"/>
    <brk id="152" max="2" man="1"/>
    <brk id="185" max="2" man="1"/>
    <brk id="228" max="2" man="1"/>
    <brk id="274" max="2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M86"/>
  <sheetViews>
    <sheetView view="pageBreakPreview" zoomScale="60" zoomScaleNormal="75" zoomScalePageLayoutView="0" workbookViewId="0" topLeftCell="A46">
      <selection activeCell="N42" sqref="N42"/>
    </sheetView>
  </sheetViews>
  <sheetFormatPr defaultColWidth="11.421875" defaultRowHeight="12.75"/>
  <cols>
    <col min="1" max="1" width="11.57421875" style="0" bestFit="1" customWidth="1"/>
    <col min="2" max="2" width="43.8515625" style="0" customWidth="1"/>
    <col min="3" max="3" width="12.57421875" style="0" bestFit="1" customWidth="1"/>
    <col min="4" max="4" width="12.7109375" style="0" customWidth="1"/>
    <col min="5" max="5" width="13.00390625" style="0" customWidth="1"/>
    <col min="6" max="7" width="14.00390625" style="0" bestFit="1" customWidth="1"/>
    <col min="8" max="9" width="11.57421875" style="0" bestFit="1" customWidth="1"/>
    <col min="10" max="10" width="10.421875" style="0" bestFit="1" customWidth="1"/>
    <col min="11" max="11" width="14.140625" style="0" customWidth="1"/>
  </cols>
  <sheetData>
    <row r="1" spans="1:11" ht="12.75">
      <c r="A1" s="48"/>
      <c r="B1" s="48"/>
      <c r="C1" s="9"/>
      <c r="D1" s="9"/>
      <c r="E1" s="9"/>
      <c r="F1" s="1"/>
      <c r="G1" s="1"/>
      <c r="H1" s="1"/>
      <c r="I1" s="1"/>
      <c r="J1" s="9"/>
      <c r="K1" s="9"/>
    </row>
    <row r="2" spans="1:11" ht="12.75">
      <c r="A2" s="764" t="s">
        <v>383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</row>
    <row r="3" spans="1:11" ht="12.75">
      <c r="A3" s="764" t="s">
        <v>139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</row>
    <row r="4" spans="1:1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3" ht="12.75">
      <c r="A5" s="157" t="s">
        <v>621</v>
      </c>
      <c r="B5" s="157" t="s">
        <v>1001</v>
      </c>
      <c r="C5" s="157" t="s">
        <v>140</v>
      </c>
      <c r="D5" s="157" t="s">
        <v>142</v>
      </c>
      <c r="E5" s="157" t="s">
        <v>143</v>
      </c>
      <c r="F5" s="157" t="s">
        <v>143</v>
      </c>
      <c r="G5" s="157" t="s">
        <v>638</v>
      </c>
      <c r="H5" s="157" t="s">
        <v>148</v>
      </c>
      <c r="I5" s="157" t="s">
        <v>146</v>
      </c>
      <c r="J5" s="157" t="s">
        <v>643</v>
      </c>
      <c r="K5" s="157" t="s">
        <v>638</v>
      </c>
      <c r="L5" s="50"/>
      <c r="M5" s="1"/>
    </row>
    <row r="6" spans="1:13" ht="12.75">
      <c r="A6" s="157"/>
      <c r="B6" s="157"/>
      <c r="C6" s="157" t="s">
        <v>141</v>
      </c>
      <c r="D6" s="157" t="s">
        <v>640</v>
      </c>
      <c r="E6" s="157" t="s">
        <v>641</v>
      </c>
      <c r="F6" s="157" t="s">
        <v>144</v>
      </c>
      <c r="G6" s="157" t="s">
        <v>145</v>
      </c>
      <c r="H6" s="157" t="s">
        <v>149</v>
      </c>
      <c r="I6" s="157"/>
      <c r="J6" s="157" t="s">
        <v>147</v>
      </c>
      <c r="K6" s="157"/>
      <c r="L6" s="51"/>
      <c r="M6" s="1"/>
    </row>
    <row r="7" spans="1:13" s="11" customFormat="1" ht="12.75">
      <c r="A7" s="49" t="s">
        <v>1000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51"/>
      <c r="M7" s="1"/>
    </row>
    <row r="8" spans="1:13" ht="12.75">
      <c r="A8" s="193">
        <v>1</v>
      </c>
      <c r="B8" s="200" t="s">
        <v>834</v>
      </c>
      <c r="C8" s="258">
        <f>+ANEXO1!H51</f>
        <v>1680</v>
      </c>
      <c r="D8" s="258">
        <f>+ANEXO2!G53+ANEXO2!D173+ANEXO2!D294+ANEXO2!D416+ANEXO2!D536+ANEXO2!N652+ANEXO2!D753+ANEXO2!D868+ANEXO2!D965</f>
        <v>30190</v>
      </c>
      <c r="E8" s="258">
        <f>+ANEXO4!K52</f>
        <v>0</v>
      </c>
      <c r="F8" s="258">
        <f>+ANEXO5!D52+ANEXO5!G166+ANEXO5!D281+ANEXO5!I396+ANEXO5!D511+ANEXO5!F626+ANEXO5!D741</f>
        <v>930</v>
      </c>
      <c r="G8" s="343">
        <f>SUM(C8:F8)</f>
        <v>32800</v>
      </c>
      <c r="H8" s="258">
        <f>+ANEXO3!G37+ANEXO3!G128</f>
        <v>0</v>
      </c>
      <c r="I8" s="258">
        <f>+ANEXO6!G37</f>
        <v>1430</v>
      </c>
      <c r="J8" s="258">
        <f>+ANEXO7!G37</f>
        <v>1900</v>
      </c>
      <c r="K8" s="158">
        <f>SUM(G8:J8)</f>
        <v>36130</v>
      </c>
      <c r="M8" s="1"/>
    </row>
    <row r="9" spans="1:13" ht="12.75">
      <c r="A9" s="193">
        <v>2</v>
      </c>
      <c r="B9" s="200" t="s">
        <v>835</v>
      </c>
      <c r="C9" s="258">
        <f>+ANEXO1!H52</f>
        <v>0</v>
      </c>
      <c r="D9" s="258">
        <f>+ANEXO2!G54+ANEXO2!D174+ANEXO2!D295+ANEXO2!D417+ANEXO2!D537+ANEXO2!N653+ANEXO2!D754+ANEXO2!D869+ANEXO2!D966</f>
        <v>0</v>
      </c>
      <c r="E9" s="258">
        <f>+ANEXO4!K53</f>
        <v>0</v>
      </c>
      <c r="F9" s="258">
        <f>+ANEXO5!D53+ANEXO5!G167+ANEXO5!D282+ANEXO5!I397+ANEXO5!D512+ANEXO5!F627+ANEXO5!D742</f>
        <v>0</v>
      </c>
      <c r="G9" s="343">
        <f>SUM(C9:F9)</f>
        <v>0</v>
      </c>
      <c r="H9" s="258">
        <f>+ANEXO3!G38+ANEXO3!G129</f>
        <v>0</v>
      </c>
      <c r="I9" s="258">
        <f>+ANEXO6!G38</f>
        <v>0</v>
      </c>
      <c r="J9" s="258">
        <f>+ANEXO7!G38</f>
        <v>0</v>
      </c>
      <c r="K9" s="158">
        <f aca="true" t="shared" si="0" ref="K9:K27">SUM(G9:J9)</f>
        <v>0</v>
      </c>
      <c r="M9" s="1"/>
    </row>
    <row r="10" spans="1:13" ht="12.75">
      <c r="A10" s="193">
        <v>3</v>
      </c>
      <c r="B10" s="200" t="s">
        <v>836</v>
      </c>
      <c r="C10" s="258">
        <f>+ANEXO1!H53</f>
        <v>0</v>
      </c>
      <c r="D10" s="258">
        <f>+ANEXO2!G55+ANEXO2!D175+ANEXO2!D296+ANEXO2!D418+ANEXO2!D538+ANEXO2!N654+ANEXO2!D755+ANEXO2!D870+ANEXO2!D967</f>
        <v>5920</v>
      </c>
      <c r="E10" s="258">
        <f>+ANEXO4!K54</f>
        <v>200</v>
      </c>
      <c r="F10" s="258">
        <f>+ANEXO5!D54+ANEXO5!G168+ANEXO5!D283+ANEXO5!I398+ANEXO5!D513+ANEXO5!F628+ANEXO5!D743</f>
        <v>651030</v>
      </c>
      <c r="G10" s="343">
        <f>SUM(C10:F10)</f>
        <v>657150</v>
      </c>
      <c r="H10" s="258">
        <f>+ANEXO3!G39+ANEXO3!G130</f>
        <v>23520</v>
      </c>
      <c r="I10" s="258">
        <f>+ANEXO6!G38</f>
        <v>0</v>
      </c>
      <c r="J10" s="258">
        <f>+ANEXO7!G38</f>
        <v>0</v>
      </c>
      <c r="K10" s="158">
        <f t="shared" si="0"/>
        <v>680670</v>
      </c>
      <c r="M10" s="562"/>
    </row>
    <row r="11" spans="1:13" ht="12.75">
      <c r="A11" s="193">
        <v>4</v>
      </c>
      <c r="B11" s="200" t="s">
        <v>837</v>
      </c>
      <c r="C11" s="258">
        <f>+ANEXO1!H54</f>
        <v>3450</v>
      </c>
      <c r="D11" s="258">
        <f>+ANEXO2!G56+ANEXO2!D176+ANEXO2!D297+ANEXO2!D419+ANEXO2!D539+ANEXO2!N655+ANEXO2!D756+ANEXO2!D871+ANEXO2!D968</f>
        <v>162370</v>
      </c>
      <c r="E11" s="258">
        <f>+ANEXO4!K55</f>
        <v>19000</v>
      </c>
      <c r="F11" s="258">
        <f>+ANEXO5!D55+ANEXO5!G169+ANEXO5!D284+ANEXO5!I399+ANEXO5!D514+ANEXO5!F629+ANEXO5!D744</f>
        <v>299960</v>
      </c>
      <c r="G11" s="343">
        <f>SUM(C11:F11)</f>
        <v>484780</v>
      </c>
      <c r="H11" s="258">
        <f>+ANEXO3!G40+ANEXO3!G131</f>
        <v>37800</v>
      </c>
      <c r="I11" s="258">
        <f>+ANEXO6!G39</f>
        <v>2200</v>
      </c>
      <c r="J11" s="258">
        <f>+ANEXO7!G39</f>
        <v>18500</v>
      </c>
      <c r="K11" s="158">
        <f t="shared" si="0"/>
        <v>543280</v>
      </c>
      <c r="M11" s="562"/>
    </row>
    <row r="12" spans="1:13" ht="12.75">
      <c r="A12" s="193">
        <v>5</v>
      </c>
      <c r="B12" s="200" t="s">
        <v>838</v>
      </c>
      <c r="C12" s="258">
        <f>+ANEXO1!H55</f>
        <v>12060</v>
      </c>
      <c r="D12" s="258">
        <f>+ANEXO2!G57+ANEXO2!D177+ANEXO2!D298+ANEXO2!D420+ANEXO2!D540+ANEXO2!N656+ANEXO2!D757+ANEXO2!D872+ANEXO2!D969</f>
        <v>53860</v>
      </c>
      <c r="E12" s="258">
        <f>+ANEXO4!K56</f>
        <v>37670</v>
      </c>
      <c r="F12" s="258">
        <f>+ANEXO5!D56+ANEXO5!G170+ANEXO5!D285+ANEXO5!I400+ANEXO5!D515+ANEXO5!F630+ANEXO5!D745</f>
        <v>21730</v>
      </c>
      <c r="G12" s="343">
        <f aca="true" t="shared" si="1" ref="G12:G25">SUM(C12:F12)</f>
        <v>125320</v>
      </c>
      <c r="H12" s="258">
        <f>+ANEXO3!G41+ANEXO3!G132</f>
        <v>13860</v>
      </c>
      <c r="I12" s="258">
        <f>+ANEXO6!G40</f>
        <v>1120</v>
      </c>
      <c r="J12" s="258">
        <f>+ANEXO7!G40</f>
        <v>4500</v>
      </c>
      <c r="K12" s="158">
        <f t="shared" si="0"/>
        <v>144800</v>
      </c>
      <c r="M12" s="562"/>
    </row>
    <row r="13" spans="1:13" ht="12.75">
      <c r="A13" s="193">
        <v>6</v>
      </c>
      <c r="B13" s="200" t="s">
        <v>839</v>
      </c>
      <c r="C13" s="258">
        <f>+ANEXO1!H56</f>
        <v>0</v>
      </c>
      <c r="D13" s="258">
        <f>+ANEXO2!G58+ANEXO2!D178+ANEXO2!D299+ANEXO2!D421+ANEXO2!D541+ANEXO2!N657+ANEXO2!D758+ANEXO2!D873+ANEXO2!D970</f>
        <v>62460</v>
      </c>
      <c r="E13" s="258">
        <f>+ANEXO4!K57</f>
        <v>0</v>
      </c>
      <c r="F13" s="258">
        <f>+ANEXO5!D57+ANEXO5!G171+ANEXO5!D286+ANEXO5!I401+ANEXO5!D516+ANEXO5!F631+ANEXO5!D746</f>
        <v>0</v>
      </c>
      <c r="G13" s="343">
        <f t="shared" si="1"/>
        <v>62460</v>
      </c>
      <c r="H13" s="258">
        <f>+ANEXO3!G42+ANEXO3!G133</f>
        <v>7560</v>
      </c>
      <c r="I13" s="258">
        <f>+ANEXO6!G41</f>
        <v>0</v>
      </c>
      <c r="J13" s="258">
        <f>+ANEXO7!G41</f>
        <v>0</v>
      </c>
      <c r="K13" s="158">
        <f t="shared" si="0"/>
        <v>70020</v>
      </c>
      <c r="M13" s="562"/>
    </row>
    <row r="14" spans="1:13" ht="12.75">
      <c r="A14" s="193">
        <v>7</v>
      </c>
      <c r="B14" s="200" t="s">
        <v>840</v>
      </c>
      <c r="C14" s="258">
        <f>+ANEXO1!H57</f>
        <v>0</v>
      </c>
      <c r="D14" s="258">
        <f>+ANEXO2!G59+ANEXO2!D179+ANEXO2!D300+ANEXO2!D422+ANEXO2!D542+ANEXO2!N658+ANEXO2!D759+ANEXO2!D874+ANEXO2!D971</f>
        <v>48470</v>
      </c>
      <c r="E14" s="258">
        <f>+ANEXO4!K58</f>
        <v>0</v>
      </c>
      <c r="F14" s="258">
        <f>+ANEXO5!D58+ANEXO5!G172+ANEXO5!D287+ANEXO5!I402+ANEXO5!D517+ANEXO5!F632+ANEXO5!D747</f>
        <v>260</v>
      </c>
      <c r="G14" s="343">
        <f t="shared" si="1"/>
        <v>48730</v>
      </c>
      <c r="H14" s="258">
        <f>+ANEXO3!G43+ANEXO3!G134</f>
        <v>0</v>
      </c>
      <c r="I14" s="258">
        <f>+ANEXO6!G42</f>
        <v>0</v>
      </c>
      <c r="J14" s="258">
        <f>+ANEXO7!G42</f>
        <v>500</v>
      </c>
      <c r="K14" s="158">
        <f t="shared" si="0"/>
        <v>49230</v>
      </c>
      <c r="M14" s="562"/>
    </row>
    <row r="15" spans="1:13" ht="12.75">
      <c r="A15" s="193">
        <v>8</v>
      </c>
      <c r="B15" s="200" t="s">
        <v>842</v>
      </c>
      <c r="C15" s="258">
        <f>+ANEXO1!H58</f>
        <v>0</v>
      </c>
      <c r="D15" s="258">
        <f>+ANEXO2!G60+ANEXO2!D180+ANEXO2!D301+ANEXO2!D423+ANEXO2!D543+ANEXO2!N659+ANEXO2!D760+ANEXO2!D875+ANEXO2!D972</f>
        <v>16130</v>
      </c>
      <c r="E15" s="258">
        <f>+ANEXO4!K59</f>
        <v>0</v>
      </c>
      <c r="F15" s="258">
        <f>+ANEXO5!D59+ANEXO5!G173+ANEXO5!D288+ANEXO5!I403+ANEXO5!D518+ANEXO5!F633+ANEXO5!D748</f>
        <v>6830</v>
      </c>
      <c r="G15" s="343">
        <f t="shared" si="1"/>
        <v>22960</v>
      </c>
      <c r="H15" s="258">
        <f>+ANEXO3!G44+ANEXO3!G135</f>
        <v>0</v>
      </c>
      <c r="I15" s="258">
        <f>+ANEXO6!G43</f>
        <v>0</v>
      </c>
      <c r="J15" s="258">
        <f>+ANEXO7!G43</f>
        <v>0</v>
      </c>
      <c r="K15" s="158">
        <f t="shared" si="0"/>
        <v>22960</v>
      </c>
      <c r="M15" s="562"/>
    </row>
    <row r="16" spans="1:13" ht="12.75">
      <c r="A16" s="193">
        <v>9</v>
      </c>
      <c r="B16" s="200" t="s">
        <v>843</v>
      </c>
      <c r="C16" s="258">
        <f>+ANEXO1!H59</f>
        <v>0</v>
      </c>
      <c r="D16" s="258">
        <f>+ANEXO2!G61+ANEXO2!D181+ANEXO2!D302+ANEXO2!D424+ANEXO2!D544+ANEXO2!N660+ANEXO2!D761+ANEXO2!D876+ANEXO2!D973</f>
        <v>52780</v>
      </c>
      <c r="E16" s="258">
        <f>+ANEXO4!K60</f>
        <v>0</v>
      </c>
      <c r="F16" s="258">
        <f>+ANEXO5!D60+ANEXO5!G174+ANEXO5!D289+ANEXO5!I404+ANEXO5!D519+ANEXO5!F634+ANEXO5!D749</f>
        <v>7840</v>
      </c>
      <c r="G16" s="343">
        <f t="shared" si="1"/>
        <v>60620</v>
      </c>
      <c r="H16" s="258">
        <f>+ANEXO3!G45+ANEXO3!G136</f>
        <v>2100</v>
      </c>
      <c r="I16" s="258">
        <f>+ANEXO6!G44</f>
        <v>1160</v>
      </c>
      <c r="J16" s="258">
        <f>+ANEXO7!G44</f>
        <v>5100</v>
      </c>
      <c r="K16" s="158">
        <f t="shared" si="0"/>
        <v>68980</v>
      </c>
      <c r="M16" s="562"/>
    </row>
    <row r="17" spans="1:13" ht="12.75">
      <c r="A17" s="193">
        <v>10</v>
      </c>
      <c r="B17" s="200" t="s">
        <v>844</v>
      </c>
      <c r="C17" s="258">
        <f>+ANEXO1!H60</f>
        <v>0</v>
      </c>
      <c r="D17" s="258">
        <f>+ANEXO2!G62+ANEXO2!D182+ANEXO2!D303+ANEXO2!D425+ANEXO2!D545+ANEXO2!N661+ANEXO2!D762+ANEXO2!D877+ANEXO2!D974</f>
        <v>13460</v>
      </c>
      <c r="E17" s="258">
        <f>+ANEXO4!K61</f>
        <v>300</v>
      </c>
      <c r="F17" s="258">
        <f>+ANEXO5!D61+ANEXO5!G175+ANEXO5!D290+ANEXO5!I405+ANEXO5!D520+ANEXO5!F635+ANEXO5!D750</f>
        <v>0</v>
      </c>
      <c r="G17" s="343">
        <f t="shared" si="1"/>
        <v>13760</v>
      </c>
      <c r="H17" s="258">
        <f>+ANEXO3!G46+ANEXO3!G137</f>
        <v>510</v>
      </c>
      <c r="I17" s="258">
        <f>+ANEXO6!G45</f>
        <v>130</v>
      </c>
      <c r="J17" s="258">
        <f>+ANEXO7!G45</f>
        <v>2320</v>
      </c>
      <c r="K17" s="158">
        <f t="shared" si="0"/>
        <v>16720</v>
      </c>
      <c r="M17" s="562"/>
    </row>
    <row r="18" spans="1:13" ht="12.75">
      <c r="A18" s="193">
        <v>11</v>
      </c>
      <c r="B18" s="200" t="s">
        <v>845</v>
      </c>
      <c r="C18" s="258">
        <f>+ANEXO1!H61</f>
        <v>4680</v>
      </c>
      <c r="D18" s="258">
        <f>+ANEXO2!G63+ANEXO2!D183+ANEXO2!D304+ANEXO2!D426+ANEXO2!D546+ANEXO2!N662+ANEXO2!D763+ANEXO2!D878+ANEXO2!D975</f>
        <v>127810</v>
      </c>
      <c r="E18" s="258">
        <f>+ANEXO4!K62</f>
        <v>3850</v>
      </c>
      <c r="F18" s="258">
        <f>+ANEXO5!D62+ANEXO5!G176+ANEXO5!D291+ANEXO5!I406+ANEXO5!D521+ANEXO5!F636+ANEXO5!D751</f>
        <v>919840</v>
      </c>
      <c r="G18" s="343">
        <f t="shared" si="1"/>
        <v>1056180</v>
      </c>
      <c r="H18" s="258">
        <f>+ANEXO3!G47+ANEXO3!G138</f>
        <v>36210</v>
      </c>
      <c r="I18" s="258">
        <f>+ANEXO6!G46</f>
        <v>3510</v>
      </c>
      <c r="J18" s="258">
        <f>+ANEXO7!G46</f>
        <v>3500</v>
      </c>
      <c r="K18" s="158">
        <f t="shared" si="0"/>
        <v>1099400</v>
      </c>
      <c r="M18" s="562"/>
    </row>
    <row r="19" spans="1:13" ht="12.75">
      <c r="A19" s="193">
        <v>12</v>
      </c>
      <c r="B19" s="200" t="s">
        <v>846</v>
      </c>
      <c r="C19" s="258">
        <f>+ANEXO1!H62</f>
        <v>0</v>
      </c>
      <c r="D19" s="258">
        <f>+ANEXO2!G64+ANEXO2!D184+ANEXO2!D305+ANEXO2!D427+ANEXO2!D547+ANEXO2!N663+ANEXO2!D764+ANEXO2!D879+ANEXO2!D976</f>
        <v>5400</v>
      </c>
      <c r="E19" s="258">
        <f>+ANEXO4!K63</f>
        <v>0</v>
      </c>
      <c r="F19" s="258">
        <f>+ANEXO5!D63+ANEXO5!G177+ANEXO5!D292+ANEXO5!I407+ANEXO5!D522+ANEXO5!F637+ANEXO5!D752</f>
        <v>914620</v>
      </c>
      <c r="G19" s="343">
        <f t="shared" si="1"/>
        <v>920020</v>
      </c>
      <c r="H19" s="258">
        <f>+ANEXO3!G48+ANEXO3!G139</f>
        <v>9660</v>
      </c>
      <c r="I19" s="258">
        <f>+ANEXO6!G47</f>
        <v>0</v>
      </c>
      <c r="J19" s="258">
        <f>+ANEXO7!G47</f>
        <v>0</v>
      </c>
      <c r="K19" s="158">
        <f t="shared" si="0"/>
        <v>929680</v>
      </c>
      <c r="M19" s="562"/>
    </row>
    <row r="20" spans="1:13" ht="12.75">
      <c r="A20" s="193">
        <v>13</v>
      </c>
      <c r="B20" s="200" t="s">
        <v>847</v>
      </c>
      <c r="C20" s="258">
        <f>+ANEXO1!H63</f>
        <v>0</v>
      </c>
      <c r="D20" s="258">
        <f>+ANEXO2!G65+ANEXO2!D185+ANEXO2!D306+ANEXO2!D428+ANEXO2!D548+ANEXO2!N664+ANEXO2!D765+ANEXO2!D880+ANEXO2!D977</f>
        <v>11380</v>
      </c>
      <c r="E20" s="258">
        <f>+ANEXO4!K64</f>
        <v>0</v>
      </c>
      <c r="F20" s="258">
        <f>+ANEXO5!D64+ANEXO5!G178+ANEXO5!D293+ANEXO5!I408+ANEXO5!D523+ANEXO5!F638+ANEXO5!D753</f>
        <v>19490</v>
      </c>
      <c r="G20" s="343">
        <f t="shared" si="1"/>
        <v>30870</v>
      </c>
      <c r="H20" s="258">
        <f>+ANEXO3!G49+ANEXO3!G140</f>
        <v>4200</v>
      </c>
      <c r="I20" s="258">
        <f>+ANEXO6!G48</f>
        <v>0</v>
      </c>
      <c r="J20" s="258">
        <f>+ANEXO7!G48</f>
        <v>1620</v>
      </c>
      <c r="K20" s="158">
        <f t="shared" si="0"/>
        <v>36690</v>
      </c>
      <c r="M20" s="562"/>
    </row>
    <row r="21" spans="1:13" ht="12.75">
      <c r="A21" s="193">
        <v>14</v>
      </c>
      <c r="B21" s="200" t="s">
        <v>848</v>
      </c>
      <c r="C21" s="258">
        <f>+ANEXO1!H64</f>
        <v>0</v>
      </c>
      <c r="D21" s="258">
        <f>+ANEXO2!G66+ANEXO2!D186+ANEXO2!D307+ANEXO2!D429+ANEXO2!D549+ANEXO2!N665+ANEXO2!D766+ANEXO2!D881+ANEXO2!D978</f>
        <v>0</v>
      </c>
      <c r="E21" s="258">
        <f>+ANEXO4!K65</f>
        <v>190000</v>
      </c>
      <c r="F21" s="258">
        <f>+ANEXO5!D65+ANEXO5!G179+ANEXO5!D294+ANEXO5!I409+ANEXO5!D524+ANEXO5!F639+ANEXO5!D754</f>
        <v>0</v>
      </c>
      <c r="G21" s="343">
        <f t="shared" si="1"/>
        <v>190000</v>
      </c>
      <c r="H21" s="258">
        <f>+ANEXO3!G50+ANEXO3!G141</f>
        <v>6300</v>
      </c>
      <c r="I21" s="258">
        <f>+ANEXO6!G49</f>
        <v>0</v>
      </c>
      <c r="J21" s="258">
        <f>+ANEXO7!G49</f>
        <v>0</v>
      </c>
      <c r="K21" s="158">
        <f t="shared" si="0"/>
        <v>196300</v>
      </c>
      <c r="M21" s="562"/>
    </row>
    <row r="22" spans="1:13" ht="12.75">
      <c r="A22" s="193">
        <v>15</v>
      </c>
      <c r="B22" s="200" t="s">
        <v>849</v>
      </c>
      <c r="C22" s="258">
        <f>+ANEXO1!H65</f>
        <v>13660</v>
      </c>
      <c r="D22" s="258">
        <f>+ANEXO2!G67+ANEXO2!D187+ANEXO2!D308+ANEXO2!D430+ANEXO2!D550+ANEXO2!N666+ANEXO2!D767+ANEXO2!D882+ANEXO2!D979</f>
        <v>197640</v>
      </c>
      <c r="E22" s="258">
        <f>+ANEXO4!K66</f>
        <v>106520</v>
      </c>
      <c r="F22" s="258">
        <f>+ANEXO5!D66+ANEXO5!G180+ANEXO5!D295+ANEXO5!I410+ANEXO5!D525+ANEXO5!F640+ANEXO5!D755</f>
        <v>163290</v>
      </c>
      <c r="G22" s="343">
        <f t="shared" si="1"/>
        <v>481110</v>
      </c>
      <c r="H22" s="258">
        <f>+ANEXO3!G51+ANEXO3!G142</f>
        <v>51480</v>
      </c>
      <c r="I22" s="258">
        <f>+ANEXO6!G50</f>
        <v>32030</v>
      </c>
      <c r="J22" s="258">
        <f>+ANEXO7!G50</f>
        <v>18500</v>
      </c>
      <c r="K22" s="158">
        <f t="shared" si="0"/>
        <v>583120</v>
      </c>
      <c r="M22" s="562"/>
    </row>
    <row r="23" spans="1:13" ht="12.75">
      <c r="A23" s="193">
        <v>16</v>
      </c>
      <c r="B23" s="200" t="s">
        <v>850</v>
      </c>
      <c r="C23" s="258">
        <f>+ANEXO1!H66</f>
        <v>0</v>
      </c>
      <c r="D23" s="258">
        <f>+ANEXO2!G68+ANEXO2!D188+ANEXO2!D309+ANEXO2!D431+ANEXO2!D551+ANEXO2!N667+ANEXO2!D768+ANEXO2!D883+ANEXO2!D980</f>
        <v>0</v>
      </c>
      <c r="E23" s="258">
        <f>+ANEXO4!K67</f>
        <v>0</v>
      </c>
      <c r="F23" s="258">
        <f>+ANEXO5!D67+ANEXO5!G181+ANEXO5!D296+ANEXO5!I411+ANEXO5!D526+ANEXO5!F641+ANEXO5!D756</f>
        <v>0</v>
      </c>
      <c r="G23" s="343">
        <f t="shared" si="1"/>
        <v>0</v>
      </c>
      <c r="H23" s="258">
        <f>+ANEXO3!G52+ANEXO3!G143</f>
        <v>0</v>
      </c>
      <c r="I23" s="258">
        <f>+ANEXO6!G52</f>
        <v>0</v>
      </c>
      <c r="J23" s="258">
        <v>0</v>
      </c>
      <c r="K23" s="158">
        <f t="shared" si="0"/>
        <v>0</v>
      </c>
      <c r="M23" s="562"/>
    </row>
    <row r="24" spans="1:13" ht="12.75">
      <c r="A24" s="193">
        <v>17</v>
      </c>
      <c r="B24" s="200" t="s">
        <v>851</v>
      </c>
      <c r="C24" s="258">
        <f>+ANEXO1!H67</f>
        <v>0</v>
      </c>
      <c r="D24" s="258">
        <f>+ANEXO2!G69+ANEXO2!D189+ANEXO2!D310+ANEXO2!D432+ANEXO2!D552+ANEXO2!N668+ANEXO2!D769+ANEXO2!D884+ANEXO2!D981</f>
        <v>0</v>
      </c>
      <c r="E24" s="258">
        <f>+ANEXO4!K68</f>
        <v>0</v>
      </c>
      <c r="F24" s="258">
        <f>+ANEXO5!D68+ANEXO5!G182+ANEXO5!D297+ANEXO5!I412+ANEXO5!D527+ANEXO5!F642+ANEXO5!D757</f>
        <v>0</v>
      </c>
      <c r="G24" s="343">
        <f t="shared" si="1"/>
        <v>0</v>
      </c>
      <c r="H24" s="258">
        <f>+ANEXO3!G53+ANEXO3!G144</f>
        <v>19620</v>
      </c>
      <c r="I24" s="258">
        <f>+ANEXO6!G53</f>
        <v>0</v>
      </c>
      <c r="J24" s="258">
        <v>0</v>
      </c>
      <c r="K24" s="158">
        <f t="shared" si="0"/>
        <v>19620</v>
      </c>
      <c r="M24" s="562"/>
    </row>
    <row r="25" spans="1:13" ht="12.75">
      <c r="A25" s="193">
        <v>18</v>
      </c>
      <c r="B25" s="200" t="s">
        <v>852</v>
      </c>
      <c r="C25" s="258">
        <f>+ANEXO1!H68</f>
        <v>0</v>
      </c>
      <c r="D25" s="258">
        <f>+ANEXO2!G70+ANEXO2!D190+ANEXO2!D311+ANEXO2!D433+ANEXO2!D553+ANEXO2!N669+ANEXO2!D770+ANEXO2!D885+ANEXO2!D982</f>
        <v>0</v>
      </c>
      <c r="E25" s="258">
        <f>+ANEXO4!K69</f>
        <v>0</v>
      </c>
      <c r="F25" s="258">
        <f>+ANEXO5!D69+ANEXO5!G183+ANEXO5!D298+ANEXO5!I413+ANEXO5!D528+ANEXO5!F643+ANEXO5!D758</f>
        <v>0</v>
      </c>
      <c r="G25" s="343">
        <f t="shared" si="1"/>
        <v>0</v>
      </c>
      <c r="H25" s="258">
        <f>+ANEXO3!G54+ANEXO3!G145</f>
        <v>0</v>
      </c>
      <c r="I25" s="258">
        <f>+ANEXO6!G54</f>
        <v>0</v>
      </c>
      <c r="J25" s="258">
        <v>0</v>
      </c>
      <c r="K25" s="158">
        <f t="shared" si="0"/>
        <v>0</v>
      </c>
      <c r="M25" s="562"/>
    </row>
    <row r="26" spans="1:13" ht="12.75">
      <c r="A26" s="193">
        <v>19</v>
      </c>
      <c r="B26" s="200" t="s">
        <v>853</v>
      </c>
      <c r="C26" s="258">
        <f>+ANEXO1!H69</f>
        <v>0</v>
      </c>
      <c r="D26" s="258">
        <f>+ANEXO2!G71+ANEXO2!D191+ANEXO2!D312+ANEXO2!D434+ANEXO2!D554+ANEXO2!N670+ANEXO2!D771+ANEXO2!D886+ANEXO2!D983</f>
        <v>0</v>
      </c>
      <c r="E26" s="258">
        <f>+ANEXO4!K70</f>
        <v>0</v>
      </c>
      <c r="F26" s="258">
        <f>+ANEXO5!D70+ANEXO5!G184+ANEXO5!D299+ANEXO5!I414+ANEXO5!D529+ANEXO5!F644+ANEXO5!D759</f>
        <v>0</v>
      </c>
      <c r="G26" s="343">
        <f>SUM(C26:F26)</f>
        <v>0</v>
      </c>
      <c r="H26" s="258">
        <f>+ANEXO3!G55+ANEXO3!G146</f>
        <v>0</v>
      </c>
      <c r="I26" s="258">
        <f>+ANEXO6!G55</f>
        <v>0</v>
      </c>
      <c r="J26" s="258">
        <v>0</v>
      </c>
      <c r="K26" s="158">
        <f t="shared" si="0"/>
        <v>0</v>
      </c>
      <c r="M26" s="562"/>
    </row>
    <row r="27" spans="1:11" ht="12.75">
      <c r="A27" s="193" t="s">
        <v>909</v>
      </c>
      <c r="B27" s="200" t="s">
        <v>532</v>
      </c>
      <c r="C27" s="258">
        <v>0</v>
      </c>
      <c r="D27" s="258">
        <v>0</v>
      </c>
      <c r="E27" s="258">
        <v>0</v>
      </c>
      <c r="F27" s="258">
        <v>8000</v>
      </c>
      <c r="G27" s="343">
        <f>SUM(C27:F27)</f>
        <v>8000</v>
      </c>
      <c r="H27" s="258">
        <v>0</v>
      </c>
      <c r="I27" s="258">
        <v>0</v>
      </c>
      <c r="J27" s="258">
        <v>0</v>
      </c>
      <c r="K27" s="158">
        <f t="shared" si="0"/>
        <v>8000</v>
      </c>
    </row>
    <row r="28" spans="1:13" ht="12.75">
      <c r="A28" s="159"/>
      <c r="B28" s="160" t="s">
        <v>638</v>
      </c>
      <c r="C28" s="158">
        <f>SUM(C8:C26)</f>
        <v>35530</v>
      </c>
      <c r="D28" s="158">
        <f>SUM(D8:D26)</f>
        <v>787870</v>
      </c>
      <c r="E28" s="158">
        <f>SUM(E8:E26)</f>
        <v>357540</v>
      </c>
      <c r="F28" s="158">
        <f>SUM(F8:F27)</f>
        <v>3013820</v>
      </c>
      <c r="G28" s="158">
        <f>SUM(G8:G26)</f>
        <v>4186760</v>
      </c>
      <c r="H28" s="158">
        <f>SUM(H8:H27)</f>
        <v>212820</v>
      </c>
      <c r="I28" s="158">
        <f>SUM(I8:I26)</f>
        <v>41580</v>
      </c>
      <c r="J28" s="158">
        <f>SUM(J8:J26)</f>
        <v>56440</v>
      </c>
      <c r="K28" s="158">
        <f>SUM(K8:K27)</f>
        <v>4505600</v>
      </c>
      <c r="L28" s="50"/>
      <c r="M28" s="562"/>
    </row>
    <row r="29" spans="1:11" s="85" customFormat="1" ht="12.75">
      <c r="A29" s="84"/>
      <c r="B29" s="84"/>
      <c r="C29" s="84"/>
      <c r="D29" s="84"/>
      <c r="E29" s="84"/>
      <c r="F29" s="9"/>
      <c r="G29" s="84"/>
      <c r="H29" s="9"/>
      <c r="I29" s="84"/>
      <c r="J29" s="84"/>
      <c r="K29" s="84"/>
    </row>
    <row r="30" spans="1:11" ht="12.75">
      <c r="A30" s="764" t="s">
        <v>383</v>
      </c>
      <c r="B30" s="764"/>
      <c r="C30" s="764"/>
      <c r="D30" s="764"/>
      <c r="E30" s="764"/>
      <c r="F30" s="764"/>
      <c r="G30" s="764"/>
      <c r="H30" s="764"/>
      <c r="I30" s="764"/>
      <c r="J30" s="764"/>
      <c r="K30" s="764"/>
    </row>
    <row r="31" spans="1:11" ht="12.75">
      <c r="A31" s="764" t="s">
        <v>139</v>
      </c>
      <c r="B31" s="764"/>
      <c r="C31" s="764"/>
      <c r="D31" s="764"/>
      <c r="E31" s="764"/>
      <c r="F31" s="764"/>
      <c r="G31" s="764"/>
      <c r="H31" s="764"/>
      <c r="I31" s="764"/>
      <c r="J31" s="764"/>
      <c r="K31" s="764"/>
    </row>
    <row r="32" spans="1:11" s="85" customFormat="1" ht="12.7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1:12" ht="12.75">
      <c r="A33" s="157" t="s">
        <v>621</v>
      </c>
      <c r="B33" s="157" t="s">
        <v>990</v>
      </c>
      <c r="C33" s="157" t="s">
        <v>140</v>
      </c>
      <c r="D33" s="157" t="s">
        <v>142</v>
      </c>
      <c r="E33" s="157" t="s">
        <v>143</v>
      </c>
      <c r="F33" s="157" t="s">
        <v>143</v>
      </c>
      <c r="G33" s="157" t="s">
        <v>638</v>
      </c>
      <c r="H33" s="157" t="s">
        <v>148</v>
      </c>
      <c r="I33" s="157" t="s">
        <v>146</v>
      </c>
      <c r="J33" s="157" t="s">
        <v>643</v>
      </c>
      <c r="K33" s="157" t="s">
        <v>638</v>
      </c>
      <c r="L33" s="50"/>
    </row>
    <row r="34" spans="1:12" ht="12.75">
      <c r="A34" s="157"/>
      <c r="B34" s="157"/>
      <c r="C34" s="157" t="s">
        <v>141</v>
      </c>
      <c r="D34" s="157" t="s">
        <v>640</v>
      </c>
      <c r="E34" s="157" t="s">
        <v>641</v>
      </c>
      <c r="F34" s="157" t="s">
        <v>144</v>
      </c>
      <c r="G34" s="157" t="s">
        <v>145</v>
      </c>
      <c r="H34" s="157" t="s">
        <v>149</v>
      </c>
      <c r="I34" s="157"/>
      <c r="J34" s="157" t="s">
        <v>147</v>
      </c>
      <c r="K34" s="157"/>
      <c r="L34" s="51"/>
    </row>
    <row r="35" spans="1:11" ht="12.75">
      <c r="A35" s="49" t="s">
        <v>1002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1" ht="12.75">
      <c r="A36" s="193">
        <v>1</v>
      </c>
      <c r="B36" s="200" t="s">
        <v>854</v>
      </c>
      <c r="C36" s="258">
        <f>+ANEXO1!H75</f>
        <v>0</v>
      </c>
      <c r="D36" s="258">
        <f>+ANEXO2!G77+ANEXO2!D197+ANEXO2!D318+ANEXO2!D440+ANEXO2!D560+ANEXO2!N676+ANEXO2!D777+ANEXO2!D892+ANEXO2!D989</f>
        <v>0</v>
      </c>
      <c r="E36" s="258">
        <f>+ANEXO4!K76</f>
        <v>271580</v>
      </c>
      <c r="F36" s="258">
        <f>+ANEXO5!D76+ANEXO5!G190+ANEXO5!D305+ANEXO5!I420+ANEXO5!D535+ANEXO5!F650+ANEXO5!D766</f>
        <v>260</v>
      </c>
      <c r="G36" s="343">
        <f aca="true" t="shared" si="2" ref="G36:G58">SUM(C36:F36)</f>
        <v>271840</v>
      </c>
      <c r="H36" s="258">
        <f>+ANEXO3!G57+ANEXO3!G148</f>
        <v>0</v>
      </c>
      <c r="I36" s="258">
        <f>+ANEXO6!G52</f>
        <v>0</v>
      </c>
      <c r="J36" s="258">
        <f>+ANEXO7!G56</f>
        <v>0</v>
      </c>
      <c r="K36" s="158">
        <f aca="true" t="shared" si="3" ref="K36:K58">SUM(G36:J36)</f>
        <v>271840</v>
      </c>
    </row>
    <row r="37" spans="1:11" ht="12.75">
      <c r="A37" s="193">
        <v>2</v>
      </c>
      <c r="B37" s="200" t="s">
        <v>855</v>
      </c>
      <c r="C37" s="258">
        <f>+ANEXO1!H76</f>
        <v>0</v>
      </c>
      <c r="D37" s="258">
        <f>+ANEXO2!G78+ANEXO2!D198+ANEXO2!D319+ANEXO2!D441+ANEXO2!D561+ANEXO2!N677+ANEXO2!D778+ANEXO2!D893+ANEXO2!D990</f>
        <v>11550</v>
      </c>
      <c r="E37" s="258">
        <f>+ANEXO4!K77</f>
        <v>0</v>
      </c>
      <c r="F37" s="258">
        <f>+ANEXO5!D77+ANEXO5!G191+ANEXO5!D306+ANEXO5!I421+ANEXO5!D536+ANEXO5!F651+ANEXO5!D767</f>
        <v>0</v>
      </c>
      <c r="G37" s="343">
        <f t="shared" si="2"/>
        <v>11550</v>
      </c>
      <c r="H37" s="258">
        <f>+ANEXO3!G58+ANEXO3!G149</f>
        <v>2940</v>
      </c>
      <c r="I37" s="258">
        <f>+ANEXO6!G53</f>
        <v>0</v>
      </c>
      <c r="J37" s="258">
        <f>+ANEXO7!G57</f>
        <v>0</v>
      </c>
      <c r="K37" s="158">
        <f t="shared" si="3"/>
        <v>14490</v>
      </c>
    </row>
    <row r="38" spans="1:11" ht="12.75">
      <c r="A38" s="193">
        <v>3</v>
      </c>
      <c r="B38" s="200" t="s">
        <v>856</v>
      </c>
      <c r="C38" s="258">
        <f>+ANEXO1!H77</f>
        <v>13050</v>
      </c>
      <c r="D38" s="258">
        <f>+ANEXO2!G79+ANEXO2!D199+ANEXO2!D320+ANEXO2!D442+ANEXO2!D562+ANEXO2!N678+ANEXO2!D779+ANEXO2!D894+ANEXO2!D991</f>
        <v>27720</v>
      </c>
      <c r="E38" s="258">
        <f>+ANEXO4!K78</f>
        <v>421520</v>
      </c>
      <c r="F38" s="258">
        <f>+ANEXO5!D78+ANEXO5!G192+ANEXO5!D307+ANEXO5!I422+ANEXO5!D537+ANEXO5!F652+ANEXO5!D768</f>
        <v>0</v>
      </c>
      <c r="G38" s="343">
        <f t="shared" si="2"/>
        <v>462290</v>
      </c>
      <c r="H38" s="258">
        <f>+ANEXO3!G59+ANEXO3!G150</f>
        <v>2940</v>
      </c>
      <c r="I38" s="258">
        <f>+ANEXO6!G54</f>
        <v>0</v>
      </c>
      <c r="J38" s="258">
        <f>+ANEXO7!G58</f>
        <v>5100</v>
      </c>
      <c r="K38" s="158">
        <f t="shared" si="3"/>
        <v>470330</v>
      </c>
    </row>
    <row r="39" spans="1:11" ht="12.75">
      <c r="A39" s="193">
        <v>4</v>
      </c>
      <c r="B39" s="200" t="s">
        <v>857</v>
      </c>
      <c r="C39" s="258">
        <f>+ANEXO1!H78</f>
        <v>0</v>
      </c>
      <c r="D39" s="258">
        <f>+ANEXO2!G80+ANEXO2!D200+ANEXO2!D321+ANEXO2!D443+ANEXO2!D563+ANEXO2!N679+ANEXO2!D780+ANEXO2!D895+ANEXO2!D992</f>
        <v>0</v>
      </c>
      <c r="E39" s="258">
        <f>+ANEXO4!K79</f>
        <v>0</v>
      </c>
      <c r="F39" s="258">
        <f>+ANEXO5!D79+ANEXO5!G193+ANEXO5!D308+ANEXO5!I423+ANEXO5!D538+ANEXO5!F653+ANEXO5!D769</f>
        <v>0</v>
      </c>
      <c r="G39" s="343">
        <f t="shared" si="2"/>
        <v>0</v>
      </c>
      <c r="H39" s="258">
        <f>+ANEXO3!G60+ANEXO3!G151</f>
        <v>0</v>
      </c>
      <c r="I39" s="258">
        <f>+ANEXO6!G55</f>
        <v>0</v>
      </c>
      <c r="J39" s="258">
        <f>+ANEXO7!G59</f>
        <v>0</v>
      </c>
      <c r="K39" s="158">
        <f t="shared" si="3"/>
        <v>0</v>
      </c>
    </row>
    <row r="40" spans="1:11" ht="12.75">
      <c r="A40" s="193">
        <v>5</v>
      </c>
      <c r="B40" s="200" t="s">
        <v>858</v>
      </c>
      <c r="C40" s="258">
        <f>+ANEXO1!H79</f>
        <v>924560</v>
      </c>
      <c r="D40" s="258">
        <f>+ANEXO2!G81+ANEXO2!D201+ANEXO2!D322+ANEXO2!D444+ANEXO2!D564+ANEXO2!N680+ANEXO2!D781+ANEXO2!D896+ANEXO2!D993</f>
        <v>52340</v>
      </c>
      <c r="E40" s="258">
        <f>+ANEXO4!K80</f>
        <v>110000</v>
      </c>
      <c r="F40" s="258">
        <f>+ANEXO5!D80+ANEXO5!G194+ANEXO5!D309+ANEXO5!I424+ANEXO5!D539+ANEXO5!F654+ANEXO5!D770</f>
        <v>0</v>
      </c>
      <c r="G40" s="343">
        <f t="shared" si="2"/>
        <v>1086900</v>
      </c>
      <c r="H40" s="258">
        <f>+ANEXO3!G61+ANEXO3!G152</f>
        <v>16800</v>
      </c>
      <c r="I40" s="258">
        <f>+ANEXO6!G56</f>
        <v>1280</v>
      </c>
      <c r="J40" s="258">
        <f>+ANEXO7!G60</f>
        <v>0</v>
      </c>
      <c r="K40" s="158">
        <f t="shared" si="3"/>
        <v>1104980</v>
      </c>
    </row>
    <row r="41" spans="1:11" ht="12.75">
      <c r="A41" s="193">
        <v>6</v>
      </c>
      <c r="B41" s="200" t="s">
        <v>859</v>
      </c>
      <c r="C41" s="258">
        <f>+ANEXO1!H80</f>
        <v>21520</v>
      </c>
      <c r="D41" s="258">
        <f>+ANEXO2!G82+ANEXO2!D202+ANEXO2!D323+ANEXO2!D445+ANEXO2!D565+ANEXO2!N681+ANEXO2!D782+ANEXO2!D897+ANEXO2!D994</f>
        <v>70780</v>
      </c>
      <c r="E41" s="258">
        <f>+ANEXO4!K81</f>
        <v>15600</v>
      </c>
      <c r="F41" s="258">
        <f>+ANEXO5!D81+ANEXO5!G195+ANEXO5!D310+ANEXO5!I425+ANEXO5!D540+ANEXO5!F655+ANEXO5!D771</f>
        <v>30240</v>
      </c>
      <c r="G41" s="343">
        <f t="shared" si="2"/>
        <v>138140</v>
      </c>
      <c r="H41" s="258">
        <f>+ANEXO3!G62+ANEXO3!G153</f>
        <v>2520</v>
      </c>
      <c r="I41" s="258">
        <f>+ANEXO6!G57</f>
        <v>0</v>
      </c>
      <c r="J41" s="258">
        <f>+ANEXO7!G61</f>
        <v>16640</v>
      </c>
      <c r="K41" s="158">
        <f t="shared" si="3"/>
        <v>157300</v>
      </c>
    </row>
    <row r="42" spans="1:11" ht="12.75">
      <c r="A42" s="193">
        <v>7</v>
      </c>
      <c r="B42" s="200" t="s">
        <v>860</v>
      </c>
      <c r="C42" s="258">
        <f>+ANEXO1!H81</f>
        <v>93070</v>
      </c>
      <c r="D42" s="258">
        <f>+ANEXO2!G83+ANEXO2!D203+ANEXO2!D324+ANEXO2!D446+ANEXO2!D566+ANEXO2!N682+ANEXO2!D783+ANEXO2!D898+ANEXO2!D995</f>
        <v>766450</v>
      </c>
      <c r="E42" s="258">
        <f>+ANEXO4!K82</f>
        <v>129370</v>
      </c>
      <c r="F42" s="258">
        <f>+ANEXO5!D82+ANEXO5!G196+ANEXO5!D311+ANEXO5!I426+ANEXO5!D541+ANEXO5!F656+ANEXO5!D772</f>
        <v>10769990</v>
      </c>
      <c r="G42" s="343">
        <f t="shared" si="2"/>
        <v>11758880</v>
      </c>
      <c r="H42" s="258">
        <f>+ANEXO3!G63+ANEXO3!G154</f>
        <v>140300</v>
      </c>
      <c r="I42" s="258">
        <f>+ANEXO6!G58</f>
        <v>0</v>
      </c>
      <c r="J42" s="258">
        <f>+ANEXO7!G62</f>
        <v>0</v>
      </c>
      <c r="K42" s="158">
        <f t="shared" si="3"/>
        <v>11899180</v>
      </c>
    </row>
    <row r="43" spans="1:11" ht="12.75">
      <c r="A43" s="193">
        <v>8</v>
      </c>
      <c r="B43" s="200" t="s">
        <v>861</v>
      </c>
      <c r="C43" s="258">
        <f>+ANEXO1!H82</f>
        <v>0</v>
      </c>
      <c r="D43" s="258">
        <f>+ANEXO2!G84+ANEXO2!D204+ANEXO2!D325+ANEXO2!D447+ANEXO2!D567+ANEXO2!N683+ANEXO2!D784+ANEXO2!D899+ANEXO2!D996</f>
        <v>69050</v>
      </c>
      <c r="E43" s="258">
        <f>+ANEXO4!K83</f>
        <v>255790</v>
      </c>
      <c r="F43" s="258">
        <f>+ANEXO5!D83+ANEXO5!G197+ANEXO5!D312+ANEXO5!I427+ANEXO5!D542+ANEXO5!F657+ANEXO5!D773</f>
        <v>0</v>
      </c>
      <c r="G43" s="343">
        <f t="shared" si="2"/>
        <v>324840</v>
      </c>
      <c r="H43" s="258">
        <f>+ANEXO3!G64+ANEXO3!G155</f>
        <v>0</v>
      </c>
      <c r="I43" s="258">
        <f>+ANEXO6!G59</f>
        <v>0</v>
      </c>
      <c r="J43" s="258">
        <f>+ANEXO7!G63</f>
        <v>0</v>
      </c>
      <c r="K43" s="158">
        <f t="shared" si="3"/>
        <v>324840</v>
      </c>
    </row>
    <row r="44" spans="1:11" ht="12.75">
      <c r="A44" s="193">
        <v>9</v>
      </c>
      <c r="B44" s="200" t="s">
        <v>862</v>
      </c>
      <c r="C44" s="258">
        <f>+ANEXO1!H83</f>
        <v>11870</v>
      </c>
      <c r="D44" s="258">
        <f>+ANEXO2!G85+ANEXO2!D205+ANEXO2!D326+ANEXO2!D448+ANEXO2!D568+ANEXO2!N684+ANEXO2!D785+ANEXO2!D900+ANEXO2!D997</f>
        <v>71450</v>
      </c>
      <c r="E44" s="258">
        <f>+ANEXO4!K84</f>
        <v>54570</v>
      </c>
      <c r="F44" s="258">
        <f>+ANEXO5!D84+ANEXO5!G198+ANEXO5!D313+ANEXO5!I428+ANEXO5!D543+ANEXO5!F658+ANEXO5!D774</f>
        <v>60170</v>
      </c>
      <c r="G44" s="343">
        <f t="shared" si="2"/>
        <v>198060</v>
      </c>
      <c r="H44" s="258">
        <f>+ANEXO3!G65+ANEXO3!G156</f>
        <v>16800</v>
      </c>
      <c r="I44" s="258">
        <f>+ANEXO6!G60</f>
        <v>16100</v>
      </c>
      <c r="J44" s="258">
        <f>+ANEXO7!G64</f>
        <v>0</v>
      </c>
      <c r="K44" s="158">
        <f t="shared" si="3"/>
        <v>230960</v>
      </c>
    </row>
    <row r="45" spans="1:11" ht="12.75">
      <c r="A45" s="193">
        <v>10</v>
      </c>
      <c r="B45" s="200" t="s">
        <v>863</v>
      </c>
      <c r="C45" s="258">
        <f>+ANEXO1!H84</f>
        <v>3690</v>
      </c>
      <c r="D45" s="258">
        <f>+ANEXO2!G86+ANEXO2!D206+ANEXO2!D327+ANEXO2!D449+ANEXO2!D569+ANEXO2!N685+ANEXO2!D786+ANEXO2!D901+ANEXO2!D998</f>
        <v>26880</v>
      </c>
      <c r="E45" s="258">
        <f>+ANEXO4!K85</f>
        <v>0</v>
      </c>
      <c r="F45" s="258">
        <f>+ANEXO5!D85+ANEXO5!G199+ANEXO5!D314+ANEXO5!I429+ANEXO5!D544+ANEXO5!F659+ANEXO5!D775</f>
        <v>0</v>
      </c>
      <c r="G45" s="343">
        <f t="shared" si="2"/>
        <v>30570</v>
      </c>
      <c r="H45" s="258">
        <f>+ANEXO3!G66+ANEXO3!G157</f>
        <v>21000</v>
      </c>
      <c r="I45" s="258">
        <f>+ANEXO6!G61</f>
        <v>0</v>
      </c>
      <c r="J45" s="258">
        <f>+ANEXO7!G65</f>
        <v>3000</v>
      </c>
      <c r="K45" s="158">
        <f t="shared" si="3"/>
        <v>54570</v>
      </c>
    </row>
    <row r="46" spans="1:11" ht="12.75">
      <c r="A46" s="193">
        <v>11</v>
      </c>
      <c r="B46" s="200" t="s">
        <v>864</v>
      </c>
      <c r="C46" s="258">
        <f>+ANEXO1!H85</f>
        <v>2520</v>
      </c>
      <c r="D46" s="258">
        <f>+ANEXO2!G87+ANEXO2!D207+ANEXO2!D328+ANEXO2!D450+ANEXO2!D570+ANEXO2!N686+ANEXO2!D787+ANEXO2!D902+ANEXO2!D999</f>
        <v>0</v>
      </c>
      <c r="E46" s="258">
        <f>+ANEXO4!K86</f>
        <v>0</v>
      </c>
      <c r="F46" s="258">
        <f>+ANEXO5!D86+ANEXO5!G200+ANEXO5!D315+ANEXO5!I430+ANEXO5!D545+ANEXO5!F660+ANEXO5!D776</f>
        <v>0</v>
      </c>
      <c r="G46" s="343">
        <f t="shared" si="2"/>
        <v>2520</v>
      </c>
      <c r="H46" s="258">
        <f>+ANEXO3!G67+ANEXO3!G158</f>
        <v>0</v>
      </c>
      <c r="I46" s="258">
        <f>+ANEXO6!G62</f>
        <v>0</v>
      </c>
      <c r="J46" s="258">
        <f>+ANEXO7!G66</f>
        <v>0</v>
      </c>
      <c r="K46" s="158">
        <f t="shared" si="3"/>
        <v>2520</v>
      </c>
    </row>
    <row r="47" spans="1:11" ht="12.75">
      <c r="A47" s="193">
        <v>12</v>
      </c>
      <c r="B47" s="200" t="s">
        <v>865</v>
      </c>
      <c r="C47" s="258">
        <f>+ANEXO1!H86</f>
        <v>84000</v>
      </c>
      <c r="D47" s="258">
        <f>+ANEXO2!G88+ANEXO2!D208+ANEXO2!D329+ANEXO2!D451+ANEXO2!D571+ANEXO2!N687+ANEXO2!D788+ANEXO2!D903+ANEXO2!D1000</f>
        <v>0</v>
      </c>
      <c r="E47" s="258">
        <f>+ANEXO4!K87</f>
        <v>0</v>
      </c>
      <c r="F47" s="258">
        <f>+ANEXO5!D87+ANEXO5!G201+ANEXO5!D316+ANEXO5!I431+ANEXO5!D546+ANEXO5!F661+ANEXO5!D777</f>
        <v>0</v>
      </c>
      <c r="G47" s="343">
        <f t="shared" si="2"/>
        <v>84000</v>
      </c>
      <c r="H47" s="258">
        <f>+ANEXO3!G68+ANEXO3!G159</f>
        <v>0</v>
      </c>
      <c r="I47" s="258">
        <f>+ANEXO6!G63</f>
        <v>0</v>
      </c>
      <c r="J47" s="258">
        <f>+ANEXO7!G67</f>
        <v>0</v>
      </c>
      <c r="K47" s="158">
        <f t="shared" si="3"/>
        <v>84000</v>
      </c>
    </row>
    <row r="48" spans="1:11" ht="12.75">
      <c r="A48" s="193">
        <v>13</v>
      </c>
      <c r="B48" s="200" t="s">
        <v>866</v>
      </c>
      <c r="C48" s="258">
        <f>+ANEXO1!H87</f>
        <v>1680</v>
      </c>
      <c r="D48" s="258">
        <f>+ANEXO2!G89+ANEXO2!D209+ANEXO2!D330+ANEXO2!D452+ANEXO2!D572+ANEXO2!N688+ANEXO2!D789+ANEXO2!D904+ANEXO2!D1001</f>
        <v>64100</v>
      </c>
      <c r="E48" s="258">
        <f>+ANEXO4!K88</f>
        <v>108500</v>
      </c>
      <c r="F48" s="258">
        <f>+ANEXO5!D88+ANEXO5!G202+ANEXO5!D317+ANEXO5!I432+ANEXO5!D547+ANEXO5!F662+ANEXO5!D778</f>
        <v>3360</v>
      </c>
      <c r="G48" s="343">
        <f t="shared" si="2"/>
        <v>177640</v>
      </c>
      <c r="H48" s="258">
        <f>+ANEXO3!G69+ANEXO3!G160</f>
        <v>4200</v>
      </c>
      <c r="I48" s="258">
        <f>+ANEXO6!G64</f>
        <v>0</v>
      </c>
      <c r="J48" s="258">
        <f>+ANEXO7!G68</f>
        <v>5000</v>
      </c>
      <c r="K48" s="158">
        <f t="shared" si="3"/>
        <v>186840</v>
      </c>
    </row>
    <row r="49" spans="1:11" ht="12.75">
      <c r="A49" s="193">
        <v>14</v>
      </c>
      <c r="B49" s="200" t="s">
        <v>867</v>
      </c>
      <c r="C49" s="258">
        <f>+ANEXO1!H88</f>
        <v>0</v>
      </c>
      <c r="D49" s="258">
        <f>+ANEXO2!G90+ANEXO2!D210+ANEXO2!D331+ANEXO2!D453+ANEXO2!D573+ANEXO2!N689+ANEXO2!D790+ANEXO2!D905+ANEXO2!D1002</f>
        <v>26970</v>
      </c>
      <c r="E49" s="258">
        <f>+ANEXO4!K89</f>
        <v>0</v>
      </c>
      <c r="F49" s="258">
        <f>+ANEXO5!D89+ANEXO5!G203+ANEXO5!D318+ANEXO5!I433+ANEXO5!D548+ANEXO5!F663+ANEXO5!D779</f>
        <v>57600</v>
      </c>
      <c r="G49" s="343">
        <f t="shared" si="2"/>
        <v>84570</v>
      </c>
      <c r="H49" s="258">
        <f>+ANEXO3!G70+ANEXO3!G161</f>
        <v>2940</v>
      </c>
      <c r="I49" s="258">
        <f>+ANEXO6!G65</f>
        <v>0</v>
      </c>
      <c r="J49" s="258">
        <f>+ANEXO7!G69</f>
        <v>0</v>
      </c>
      <c r="K49" s="158">
        <f t="shared" si="3"/>
        <v>87510</v>
      </c>
    </row>
    <row r="50" spans="1:11" ht="12.75">
      <c r="A50" s="193">
        <v>15</v>
      </c>
      <c r="B50" s="200" t="s">
        <v>868</v>
      </c>
      <c r="C50" s="258">
        <f>+ANEXO1!H89</f>
        <v>0</v>
      </c>
      <c r="D50" s="258">
        <f>+ANEXO2!G91+ANEXO2!D211+ANEXO2!D332+ANEXO2!D454+ANEXO2!D574+ANEXO2!N690+ANEXO2!D791+ANEXO2!D906+ANEXO2!D1003</f>
        <v>13110</v>
      </c>
      <c r="E50" s="258">
        <f>+ANEXO4!K90</f>
        <v>110600</v>
      </c>
      <c r="F50" s="258">
        <f>+ANEXO5!D90+ANEXO5!G204+ANEXO5!D319+ANEXO5!I434+ANEXO5!D549+ANEXO5!F664+ANEXO5!D780</f>
        <v>3360</v>
      </c>
      <c r="G50" s="343">
        <f t="shared" si="2"/>
        <v>127070</v>
      </c>
      <c r="H50" s="258">
        <f>+ANEXO3!G71+ANEXO3!G162</f>
        <v>0</v>
      </c>
      <c r="I50" s="258">
        <f>+ANEXO6!G66</f>
        <v>0</v>
      </c>
      <c r="J50" s="258">
        <f>+ANEXO7!G70</f>
        <v>4000</v>
      </c>
      <c r="K50" s="158">
        <f t="shared" si="3"/>
        <v>131070</v>
      </c>
    </row>
    <row r="51" spans="1:11" ht="12.75">
      <c r="A51" s="193">
        <v>16</v>
      </c>
      <c r="B51" s="200" t="s">
        <v>869</v>
      </c>
      <c r="C51" s="258">
        <f>+ANEXO1!H90</f>
        <v>0</v>
      </c>
      <c r="D51" s="258">
        <f>+ANEXO2!G92+ANEXO2!D212+ANEXO2!D333+ANEXO2!D455+ANEXO2!D575+ANEXO2!N691+ANEXO2!D792+ANEXO2!D907+ANEXO2!D1004</f>
        <v>5460</v>
      </c>
      <c r="E51" s="258">
        <f>+ANEXO4!K91</f>
        <v>0</v>
      </c>
      <c r="F51" s="258">
        <f>+ANEXO5!D91+ANEXO5!G205+ANEXO5!D320+ANEXO5!I435+ANEXO5!D550+ANEXO5!F665+ANEXO5!D781</f>
        <v>0</v>
      </c>
      <c r="G51" s="343">
        <f t="shared" si="2"/>
        <v>5460</v>
      </c>
      <c r="H51" s="258">
        <f>+ANEXO3!G72+ANEXO3!G163</f>
        <v>840</v>
      </c>
      <c r="I51" s="258">
        <f>+ANEXO6!G67</f>
        <v>0</v>
      </c>
      <c r="J51" s="258">
        <f>+ANEXO7!G71</f>
        <v>0</v>
      </c>
      <c r="K51" s="158">
        <f t="shared" si="3"/>
        <v>6300</v>
      </c>
    </row>
    <row r="52" spans="1:11" ht="12.75">
      <c r="A52" s="193">
        <v>17</v>
      </c>
      <c r="B52" s="200" t="s">
        <v>870</v>
      </c>
      <c r="C52" s="258">
        <f>+ANEXO1!H91</f>
        <v>34610</v>
      </c>
      <c r="D52" s="258">
        <f>+ANEXO2!G93+ANEXO2!D213+ANEXO2!D333+ANEXO2!D456+ANEXO2!D576+ANEXO2!N692+ANEXO2!D793+ANEXO2!D908+ANEXO2!D1005</f>
        <v>148010</v>
      </c>
      <c r="E52" s="258">
        <f>+ANEXO4!K92</f>
        <v>4200</v>
      </c>
      <c r="F52" s="258">
        <f>+ANEXO5!D92+ANEXO5!G206+ANEXO5!D321+ANEXO5!I436+ANEXO5!D551+ANEXO5!F666+ANEXO5!D782</f>
        <v>116280</v>
      </c>
      <c r="G52" s="343">
        <f t="shared" si="2"/>
        <v>303100</v>
      </c>
      <c r="H52" s="258">
        <f>+ANEXO3!G73+ANEXO3!G164</f>
        <v>10920</v>
      </c>
      <c r="I52" s="258">
        <f>+ANEXO6!G68</f>
        <v>940</v>
      </c>
      <c r="J52" s="258">
        <f>+ANEXO7!G72</f>
        <v>3500</v>
      </c>
      <c r="K52" s="158">
        <f t="shared" si="3"/>
        <v>318460</v>
      </c>
    </row>
    <row r="53" spans="1:11" ht="12.75">
      <c r="A53" s="193">
        <v>18</v>
      </c>
      <c r="B53" s="200" t="s">
        <v>871</v>
      </c>
      <c r="C53" s="258">
        <f>+ANEXO1!H92</f>
        <v>0</v>
      </c>
      <c r="D53" s="258">
        <f>+ANEXO2!G94+ANEXO2!D214+ANEXO2!D335+ANEXO2!D457+ANEXO2!D577+ANEXO2!N693+ANEXO2!D794+ANEXO2!D909+ANEXO2!D1006</f>
        <v>0</v>
      </c>
      <c r="E53" s="258">
        <f>+ANEXO4!K93</f>
        <v>0</v>
      </c>
      <c r="F53" s="258">
        <f>+ANEXO5!D93+ANEXO5!G207+ANEXO5!D322+ANEXO5!I437+ANEXO5!D552+ANEXO5!F667+ANEXO5!D783</f>
        <v>829750</v>
      </c>
      <c r="G53" s="343">
        <f t="shared" si="2"/>
        <v>829750</v>
      </c>
      <c r="H53" s="258">
        <f>+ANEXO3!G74+ANEXO3!G165</f>
        <v>0</v>
      </c>
      <c r="I53" s="258">
        <v>0</v>
      </c>
      <c r="J53" s="258">
        <f>+ANEXO7!G73</f>
        <v>1000</v>
      </c>
      <c r="K53" s="158">
        <f t="shared" si="3"/>
        <v>830750</v>
      </c>
    </row>
    <row r="54" spans="1:11" ht="12.75">
      <c r="A54" s="193">
        <v>19</v>
      </c>
      <c r="B54" s="200" t="s">
        <v>872</v>
      </c>
      <c r="C54" s="258">
        <f>+ANEXO1!H93</f>
        <v>0</v>
      </c>
      <c r="D54" s="258">
        <f>+ANEXO2!G95+ANEXO2!D215+ANEXO2!D336+ANEXO2!D458+ANEXO2!D578+ANEXO2!N694+ANEXO2!D795+ANEXO2!D910+ANEXO2!D1007</f>
        <v>0</v>
      </c>
      <c r="E54" s="258">
        <f>+ANEXO4!K94</f>
        <v>25200</v>
      </c>
      <c r="F54" s="258">
        <f>+ANEXO5!D94+ANEXO5!G208+ANEXO5!D323+ANEXO5!I438+ANEXO5!D553+ANEXO5!F668+ANEXO5!D784</f>
        <v>0</v>
      </c>
      <c r="G54" s="343">
        <f t="shared" si="2"/>
        <v>25200</v>
      </c>
      <c r="H54" s="258">
        <f>+ANEXO3!G75+ANEXO3!G166</f>
        <v>0</v>
      </c>
      <c r="I54" s="258">
        <f>+ANEXO6!G70</f>
        <v>0</v>
      </c>
      <c r="J54" s="258">
        <f>+ANEXO7!G74</f>
        <v>0</v>
      </c>
      <c r="K54" s="158">
        <f t="shared" si="3"/>
        <v>25200</v>
      </c>
    </row>
    <row r="55" spans="1:11" ht="12.75">
      <c r="A55" s="193">
        <v>20</v>
      </c>
      <c r="B55" s="200" t="s">
        <v>873</v>
      </c>
      <c r="C55" s="258">
        <f>+ANEXO1!H94</f>
        <v>0</v>
      </c>
      <c r="D55" s="258">
        <f>+ANEXO2!G96+ANEXO2!D216+ANEXO2!D337+ANEXO2!D459+ANEXO2!D579+ANEXO2!N695+ANEXO2!N695+ANEXO2!D796+ANEXO2!D911+ANEXO2!D1008</f>
        <v>763520</v>
      </c>
      <c r="E55" s="258">
        <f>+ANEXO4!K95</f>
        <v>0</v>
      </c>
      <c r="F55" s="258">
        <f>+ANEXO5!D95+ANEXO5!G209+ANEXO5!D324+ANEXO5!I439+ANEXO5!D554+ANEXO5!F669+ANEXO5!D785</f>
        <v>0</v>
      </c>
      <c r="G55" s="343">
        <f t="shared" si="2"/>
        <v>763520</v>
      </c>
      <c r="H55" s="258">
        <f>+ANEXO3!G76+ANEXO3!G167</f>
        <v>4200</v>
      </c>
      <c r="I55" s="258">
        <v>0</v>
      </c>
      <c r="J55" s="258">
        <f>+ANEXO7!G75</f>
        <v>0</v>
      </c>
      <c r="K55" s="158">
        <f t="shared" si="3"/>
        <v>767720</v>
      </c>
    </row>
    <row r="56" spans="1:11" ht="12.75">
      <c r="A56" s="193">
        <v>21</v>
      </c>
      <c r="B56" s="200" t="s">
        <v>874</v>
      </c>
      <c r="C56" s="258">
        <f>+ANEXO1!H95</f>
        <v>26460</v>
      </c>
      <c r="D56" s="258">
        <f>+ANEXO2!G97+ANEXO2!D217+ANEXO2!D338+ANEXO2!D460+ANEXO2!D580+ANEXO2!N696+ANEXO2!D797+ANEXO2!D912+ANEXO2!D1009</f>
        <v>1728790</v>
      </c>
      <c r="E56" s="258">
        <f>+ANEXO4!K96</f>
        <v>504770</v>
      </c>
      <c r="F56" s="258">
        <f>+ANEXO5!D96+ANEXO5!G210+ANEXO5!D325+ANEXO5!I440+ANEXO5!D555+ANEXO5!F670+ANEXO5!D786</f>
        <v>47500</v>
      </c>
      <c r="G56" s="343">
        <f t="shared" si="2"/>
        <v>2307520</v>
      </c>
      <c r="H56" s="258">
        <f>+ANEXO3!G77+ANEXO3!G168</f>
        <v>105600</v>
      </c>
      <c r="I56" s="258">
        <f>+ANEXO6!G69</f>
        <v>72940</v>
      </c>
      <c r="J56" s="258">
        <f>+ANEXO7!G76</f>
        <v>8200</v>
      </c>
      <c r="K56" s="158">
        <f t="shared" si="3"/>
        <v>2494260</v>
      </c>
    </row>
    <row r="57" spans="1:11" ht="12.75">
      <c r="A57" s="193" t="s">
        <v>120</v>
      </c>
      <c r="B57" s="200" t="s">
        <v>119</v>
      </c>
      <c r="C57" s="258">
        <v>0</v>
      </c>
      <c r="D57" s="258">
        <f>+ANEXO2!D461</f>
        <v>10080</v>
      </c>
      <c r="E57" s="258"/>
      <c r="F57" s="258"/>
      <c r="G57" s="343"/>
      <c r="H57" s="258"/>
      <c r="I57" s="258"/>
      <c r="J57" s="258"/>
      <c r="K57" s="158">
        <f t="shared" si="3"/>
        <v>0</v>
      </c>
    </row>
    <row r="58" spans="1:11" ht="12.75">
      <c r="A58" s="193" t="s">
        <v>106</v>
      </c>
      <c r="B58" s="200" t="s">
        <v>107</v>
      </c>
      <c r="C58" s="258">
        <f>+ANEXO1!H96</f>
        <v>118340</v>
      </c>
      <c r="D58" s="258">
        <f>+ANEXO2!G98+ANEXO2!D218+ANEXO2!D339+ANEXO2!D463+ANEXO2!D581+ANEXO2!N697+ANEXO2!D798+ANEXO2!D913+ANEXO2!D1010</f>
        <v>1871140</v>
      </c>
      <c r="E58" s="258">
        <f>+ANEXO4!K97</f>
        <v>331050</v>
      </c>
      <c r="F58" s="258">
        <f>+ANEXO5!D97+ANEXO5!G211+ANEXO5!D326+ANEXO5!I441+ANEXO5!D556+ANEXO5!F671+ANEXO5!D787</f>
        <v>246120</v>
      </c>
      <c r="G58" s="343">
        <f t="shared" si="2"/>
        <v>2566650</v>
      </c>
      <c r="H58" s="258">
        <f>+ANEXO3!G78+ANEXO3!G169</f>
        <v>47040</v>
      </c>
      <c r="I58" s="258">
        <f>+ANEXO6!G73</f>
        <v>0</v>
      </c>
      <c r="J58" s="258">
        <f>+ANEXO7!G77</f>
        <v>0</v>
      </c>
      <c r="K58" s="158">
        <f t="shared" si="3"/>
        <v>2613690</v>
      </c>
    </row>
    <row r="59" spans="1:12" ht="12.75">
      <c r="A59" s="159"/>
      <c r="B59" s="160" t="s">
        <v>638</v>
      </c>
      <c r="C59" s="158">
        <f aca="true" t="shared" si="4" ref="C59:K59">SUM(C36:C58)</f>
        <v>1335370</v>
      </c>
      <c r="D59" s="158">
        <f t="shared" si="4"/>
        <v>5727400</v>
      </c>
      <c r="E59" s="158">
        <f t="shared" si="4"/>
        <v>2342750</v>
      </c>
      <c r="F59" s="158">
        <f t="shared" si="4"/>
        <v>12164630</v>
      </c>
      <c r="G59" s="158">
        <f>SUM(G36:G58)</f>
        <v>21560070</v>
      </c>
      <c r="H59" s="158">
        <f>SUM(H36:H58)</f>
        <v>379040</v>
      </c>
      <c r="I59" s="158">
        <f>SUM(I36:I58)</f>
        <v>91260</v>
      </c>
      <c r="J59" s="158">
        <f t="shared" si="4"/>
        <v>46440</v>
      </c>
      <c r="K59" s="158">
        <f t="shared" si="4"/>
        <v>22076810</v>
      </c>
      <c r="L59" s="50"/>
    </row>
    <row r="60" spans="1:11" s="85" customFormat="1" ht="12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</row>
    <row r="61" spans="1:11" s="85" customFormat="1" ht="12.75">
      <c r="A61" s="84"/>
      <c r="B61" s="84"/>
      <c r="C61" s="84"/>
      <c r="D61" s="9"/>
      <c r="E61" s="84"/>
      <c r="F61" s="84"/>
      <c r="G61" s="84"/>
      <c r="H61" s="84"/>
      <c r="I61" s="84"/>
      <c r="J61" s="84"/>
      <c r="K61" s="84"/>
    </row>
    <row r="62" spans="1:11" ht="12.75">
      <c r="A62" s="48"/>
      <c r="B62" s="48"/>
      <c r="C62" s="48"/>
      <c r="D62" s="48"/>
      <c r="E62" s="48"/>
      <c r="F62" s="9"/>
      <c r="G62" s="9"/>
      <c r="H62" s="9"/>
      <c r="I62" s="9"/>
      <c r="J62" s="48"/>
      <c r="K62" s="48"/>
    </row>
    <row r="63" spans="1:11" ht="12.75">
      <c r="A63" s="764" t="s">
        <v>383</v>
      </c>
      <c r="B63" s="764"/>
      <c r="C63" s="764"/>
      <c r="D63" s="764"/>
      <c r="E63" s="764"/>
      <c r="F63" s="764"/>
      <c r="G63" s="764"/>
      <c r="H63" s="764"/>
      <c r="I63" s="764"/>
      <c r="J63" s="764"/>
      <c r="K63" s="764"/>
    </row>
    <row r="64" spans="1:11" ht="12.75">
      <c r="A64" s="764" t="s">
        <v>139</v>
      </c>
      <c r="B64" s="764"/>
      <c r="C64" s="764"/>
      <c r="D64" s="764"/>
      <c r="E64" s="764"/>
      <c r="F64" s="764"/>
      <c r="G64" s="764"/>
      <c r="H64" s="764"/>
      <c r="I64" s="764"/>
      <c r="J64" s="764"/>
      <c r="K64" s="764"/>
    </row>
    <row r="65" spans="1:11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</row>
    <row r="66" spans="1:12" ht="12.75">
      <c r="A66" s="157" t="s">
        <v>621</v>
      </c>
      <c r="B66" s="157" t="s">
        <v>1016</v>
      </c>
      <c r="C66" s="157" t="s">
        <v>140</v>
      </c>
      <c r="D66" s="157" t="s">
        <v>142</v>
      </c>
      <c r="E66" s="157" t="s">
        <v>143</v>
      </c>
      <c r="F66" s="157" t="s">
        <v>143</v>
      </c>
      <c r="G66" s="157" t="s">
        <v>638</v>
      </c>
      <c r="H66" s="157" t="s">
        <v>148</v>
      </c>
      <c r="I66" s="157" t="s">
        <v>146</v>
      </c>
      <c r="J66" s="157" t="s">
        <v>643</v>
      </c>
      <c r="K66" s="157" t="s">
        <v>638</v>
      </c>
      <c r="L66" s="50"/>
    </row>
    <row r="67" spans="1:12" ht="12.75">
      <c r="A67" s="157"/>
      <c r="B67" s="157"/>
      <c r="C67" s="157" t="s">
        <v>141</v>
      </c>
      <c r="D67" s="157" t="s">
        <v>640</v>
      </c>
      <c r="E67" s="157" t="s">
        <v>641</v>
      </c>
      <c r="F67" s="157" t="s">
        <v>144</v>
      </c>
      <c r="G67" s="157" t="s">
        <v>145</v>
      </c>
      <c r="H67" s="157" t="s">
        <v>149</v>
      </c>
      <c r="I67" s="157"/>
      <c r="J67" s="157" t="s">
        <v>147</v>
      </c>
      <c r="K67" s="157"/>
      <c r="L67" s="51"/>
    </row>
    <row r="68" spans="1:11" ht="12.75">
      <c r="A68" s="49" t="s">
        <v>1003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11" ht="12.75">
      <c r="A69" s="193">
        <v>1</v>
      </c>
      <c r="B69" s="200" t="s">
        <v>875</v>
      </c>
      <c r="C69" s="258">
        <f>+ANEXO1!H106</f>
        <v>0</v>
      </c>
      <c r="D69" s="258">
        <f>+ANEXO2!G108+ANEXO2!D229+ANEXO2!D351+ANEXO2!D471+ANEXO2!D588+ANEXO2!N708+ANEXO2!D804+ANEXO2!D919+ANEXO2!D1016</f>
        <v>326870</v>
      </c>
      <c r="E69" s="258">
        <f>+ANEXO4!K108</f>
        <v>25200</v>
      </c>
      <c r="F69" s="258">
        <f>+ANEXO5!D104+ANEXO5!G217+ANEXO5!D332+ANEXO5!I447+ANEXO5!D562+ANEXO5!F677+ANEXO5!D793</f>
        <v>602470</v>
      </c>
      <c r="G69" s="343">
        <f aca="true" t="shared" si="5" ref="G69:G80">SUM(C69:F69)</f>
        <v>954540</v>
      </c>
      <c r="H69" s="258">
        <f>+ANEXO3!G80+ANEXO3!G171</f>
        <v>1680</v>
      </c>
      <c r="I69" s="258">
        <f>+ANEXO6!G73</f>
        <v>0</v>
      </c>
      <c r="J69" s="258">
        <f>+ANEXO7!G79</f>
        <v>0</v>
      </c>
      <c r="K69" s="158">
        <f aca="true" t="shared" si="6" ref="K69:K80">SUM(G69:J69)</f>
        <v>956220</v>
      </c>
    </row>
    <row r="70" spans="1:11" ht="12.75">
      <c r="A70" s="193">
        <v>2</v>
      </c>
      <c r="B70" s="200" t="s">
        <v>876</v>
      </c>
      <c r="C70" s="258">
        <f>+ANEXO1!H107</f>
        <v>0</v>
      </c>
      <c r="D70" s="258">
        <f>+ANEXO2!G109+ANEXO2!D230+ANEXO2!D352+ANEXO2!D472+ANEXO2!D589+ANEXO2!N709+ANEXO2!D805+ANEXO2!D920+ANEXO2!D1017</f>
        <v>28500</v>
      </c>
      <c r="E70" s="258">
        <f>+ANEXO4!K109</f>
        <v>4200</v>
      </c>
      <c r="F70" s="258">
        <f>+ANEXO5!D105+ANEXO5!G218+ANEXO5!D333+ANEXO5!I448+ANEXO5!D563+ANEXO5!F678+ANEXO5!D794</f>
        <v>164410</v>
      </c>
      <c r="G70" s="343">
        <f t="shared" si="5"/>
        <v>197110</v>
      </c>
      <c r="H70" s="258">
        <f>+ANEXO3!G81+ANEXO3!G172</f>
        <v>840</v>
      </c>
      <c r="I70" s="258">
        <f>+ANEXO6!G74</f>
        <v>0</v>
      </c>
      <c r="J70" s="258">
        <f>+ANEXO7!G80</f>
        <v>750</v>
      </c>
      <c r="K70" s="158">
        <f t="shared" si="6"/>
        <v>198700</v>
      </c>
    </row>
    <row r="71" spans="1:11" ht="12.75">
      <c r="A71" s="193">
        <v>3</v>
      </c>
      <c r="B71" s="200" t="s">
        <v>877</v>
      </c>
      <c r="C71" s="258">
        <f>+ANEXO1!H108</f>
        <v>0</v>
      </c>
      <c r="D71" s="258">
        <f>+ANEXO2!G110+ANEXO2!D231+ANEXO2!D353+ANEXO2!D473+ANEXO2!D590+ANEXO2!N710+ANEXO2!D806+ANEXO2!D921+ANEXO2!D1018</f>
        <v>121800</v>
      </c>
      <c r="E71" s="258">
        <f>+ANEXO4!K110</f>
        <v>0</v>
      </c>
      <c r="F71" s="258">
        <f>+ANEXO5!D106+ANEXO5!G219+ANEXO5!D334+ANEXO5!I449+ANEXO5!D564+ANEXO5!F679+ANEXO5!D795</f>
        <v>1141600</v>
      </c>
      <c r="G71" s="343">
        <f t="shared" si="5"/>
        <v>1263400</v>
      </c>
      <c r="H71" s="258">
        <f>+ANEXO3!G82+ANEXO3!G173</f>
        <v>48000</v>
      </c>
      <c r="I71" s="258">
        <f>+ANEXO6!G75</f>
        <v>0</v>
      </c>
      <c r="J71" s="258">
        <f>+ANEXO7!G81</f>
        <v>0</v>
      </c>
      <c r="K71" s="158">
        <f t="shared" si="6"/>
        <v>1311400</v>
      </c>
    </row>
    <row r="72" spans="1:11" ht="12.75">
      <c r="A72" s="193">
        <v>4</v>
      </c>
      <c r="B72" s="200" t="s">
        <v>878</v>
      </c>
      <c r="C72" s="258">
        <f>+ANEXO1!H109</f>
        <v>0</v>
      </c>
      <c r="D72" s="258">
        <f>+ANEXO2!G111+ANEXO2!D232+ANEXO2!D354+ANEXO2!D474+ANEXO2!D591+ANEXO2!N711+ANEXO2!D807+ANEXO2!D922+ANEXO2!D1019</f>
        <v>66340</v>
      </c>
      <c r="E72" s="258">
        <f>+ANEXO4!K111</f>
        <v>32000</v>
      </c>
      <c r="F72" s="258">
        <f>+ANEXO5!D107+ANEXO5!G220+ANEXO5!D335+ANEXO5!I450+ANEXO5!D565+ANEXO5!F680+ANEXO5!D796</f>
        <v>21860</v>
      </c>
      <c r="G72" s="343">
        <f t="shared" si="5"/>
        <v>120200</v>
      </c>
      <c r="H72" s="258">
        <f>+ANEXO3!G83+ANEXO3!G174</f>
        <v>0</v>
      </c>
      <c r="I72" s="258">
        <f>+ANEXO6!G76</f>
        <v>0</v>
      </c>
      <c r="J72" s="258">
        <f>+ANEXO7!G82</f>
        <v>13100</v>
      </c>
      <c r="K72" s="158">
        <f t="shared" si="6"/>
        <v>133300</v>
      </c>
    </row>
    <row r="73" spans="1:11" ht="12.75">
      <c r="A73" s="193">
        <v>5</v>
      </c>
      <c r="B73" s="200" t="s">
        <v>879</v>
      </c>
      <c r="C73" s="258">
        <f>+ANEXO1!H110</f>
        <v>0</v>
      </c>
      <c r="D73" s="258">
        <f>+ANEXO2!G112+ANEXO2!D233+ANEXO2!D355+ANEXO2!D475+ANEXO2!D592+ANEXO2!N712+ANEXO2!D808+ANEXO2!D923+ANEXO2!D1020</f>
        <v>16950</v>
      </c>
      <c r="E73" s="258">
        <f>+ANEXO4!K112</f>
        <v>0</v>
      </c>
      <c r="F73" s="258">
        <f>+ANEXO5!D108+ANEXO5!G221+ANEXO5!D336+ANEXO5!I451+ANEXO5!D566+ANEXO5!F681+ANEXO5!D797</f>
        <v>0</v>
      </c>
      <c r="G73" s="343">
        <f t="shared" si="5"/>
        <v>16950</v>
      </c>
      <c r="H73" s="258">
        <f>+ANEXO3!G84+ANEXO3!G175</f>
        <v>0</v>
      </c>
      <c r="I73" s="258">
        <f>+ANEXO6!G77</f>
        <v>0</v>
      </c>
      <c r="J73" s="258">
        <f>+ANEXO7!G83</f>
        <v>0</v>
      </c>
      <c r="K73" s="158">
        <f t="shared" si="6"/>
        <v>16950</v>
      </c>
    </row>
    <row r="74" spans="1:11" ht="12.75">
      <c r="A74" s="193">
        <v>6</v>
      </c>
      <c r="B74" s="200" t="s">
        <v>880</v>
      </c>
      <c r="C74" s="258">
        <f>+ANEXO1!H111</f>
        <v>0</v>
      </c>
      <c r="D74" s="258">
        <f>+ANEXO2!G113+ANEXO2!D234+ANEXO2!D356+ANEXO2!D476+ANEXO2!D593+ANEXO2!N713+ANEXO2!D809+ANEXO2!D924+ANEXO2!D1021</f>
        <v>12620</v>
      </c>
      <c r="E74" s="258">
        <f>+ANEXO4!K113</f>
        <v>0</v>
      </c>
      <c r="F74" s="258">
        <f>+ANEXO5!D109+ANEXO5!G222+ANEXO5!D337+ANEXO5!I452+ANEXO5!D567+ANEXO5!F682+ANEXO5!D798</f>
        <v>201950</v>
      </c>
      <c r="G74" s="343">
        <f t="shared" si="5"/>
        <v>214570</v>
      </c>
      <c r="H74" s="258">
        <f>+ANEXO3!G85+ANEXO3!G176</f>
        <v>7560</v>
      </c>
      <c r="I74" s="258">
        <f>+ANEXO6!G78</f>
        <v>0</v>
      </c>
      <c r="J74" s="258">
        <f>+ANEXO7!G84</f>
        <v>0</v>
      </c>
      <c r="K74" s="158">
        <f t="shared" si="6"/>
        <v>222130</v>
      </c>
    </row>
    <row r="75" spans="1:11" ht="12.75">
      <c r="A75" s="193">
        <v>7</v>
      </c>
      <c r="B75" s="200" t="s">
        <v>893</v>
      </c>
      <c r="C75" s="258">
        <f>+ANEXO1!H112</f>
        <v>720</v>
      </c>
      <c r="D75" s="258">
        <f>+ANEXO2!G114+ANEXO2!D235+ANEXO2!D357+ANEXO2!D477+ANEXO2!D594+ANEXO2!N714+ANEXO2!D810+ANEXO2!D925+ANEXO2!D1022</f>
        <v>18840</v>
      </c>
      <c r="E75" s="258">
        <f>+ANEXO4!K114</f>
        <v>2520</v>
      </c>
      <c r="F75" s="258">
        <f>+ANEXO5!D110+ANEXO5!G223+ANEXO5!D338+ANEXO5!I453+ANEXO5!D568+ANEXO5!F683+ANEXO5!D799</f>
        <v>420</v>
      </c>
      <c r="G75" s="343">
        <f t="shared" si="5"/>
        <v>22500</v>
      </c>
      <c r="H75" s="258">
        <f>+ANEXO3!G86+ANEXO3!G177</f>
        <v>0</v>
      </c>
      <c r="I75" s="258">
        <f>+ANEXO6!G79</f>
        <v>2850</v>
      </c>
      <c r="J75" s="258">
        <f>+ANEXO7!G85</f>
        <v>0</v>
      </c>
      <c r="K75" s="158">
        <f t="shared" si="6"/>
        <v>25350</v>
      </c>
    </row>
    <row r="76" spans="1:11" ht="12.75">
      <c r="A76" s="193">
        <v>8</v>
      </c>
      <c r="B76" s="200" t="s">
        <v>894</v>
      </c>
      <c r="C76" s="258">
        <f>+ANEXO1!H113</f>
        <v>3360</v>
      </c>
      <c r="D76" s="258">
        <f>+ANEXO2!G115+ANEXO2!D236+ANEXO2!D358+ANEXO2!D478+ANEXO2!D595+ANEXO2!N715+ANEXO2!D811+ANEXO2!D926+ANEXO2!D1023</f>
        <v>49770</v>
      </c>
      <c r="E76" s="258">
        <f>+ANEXO4!K115</f>
        <v>41500</v>
      </c>
      <c r="F76" s="258">
        <f>+ANEXO5!D111+ANEXO5!G224+ANEXO5!D339+ANEXO5!I454+ANEXO5!D569+ANEXO5!F684+ANEXO5!D800</f>
        <v>7170</v>
      </c>
      <c r="G76" s="343">
        <f t="shared" si="5"/>
        <v>101800</v>
      </c>
      <c r="H76" s="258">
        <f>+ANEXO3!G87+ANEXO3!G178</f>
        <v>3360</v>
      </c>
      <c r="I76" s="258">
        <f>+ANEXO6!G80</f>
        <v>27680</v>
      </c>
      <c r="J76" s="258">
        <f>+ANEXO7!G86</f>
        <v>23000</v>
      </c>
      <c r="K76" s="158">
        <f t="shared" si="6"/>
        <v>155840</v>
      </c>
    </row>
    <row r="77" spans="1:11" ht="12.75">
      <c r="A77" s="193">
        <v>9</v>
      </c>
      <c r="B77" s="200" t="s">
        <v>897</v>
      </c>
      <c r="C77" s="258">
        <f>+ANEXO1!H114</f>
        <v>0</v>
      </c>
      <c r="D77" s="258">
        <f>+ANEXO2!G116+ANEXO2!D237+ANEXO2!D359+ANEXO2!D479+ANEXO2!D596+ANEXO2!N716+ANEXO2!D812+ANEXO2!D927+ANEXO2!D1024</f>
        <v>0</v>
      </c>
      <c r="E77" s="258">
        <f>+ANEXO4!K116</f>
        <v>232640</v>
      </c>
      <c r="F77" s="258">
        <f>+ANEXO5!D112+ANEXO5!G225+ANEXO5!D340+ANEXO5!I455+ANEXO5!D570+ANEXO5!F685+ANEXO5!D801</f>
        <v>0</v>
      </c>
      <c r="G77" s="343">
        <f t="shared" si="5"/>
        <v>232640</v>
      </c>
      <c r="H77" s="258">
        <f>+ANEXO3!G88+ANEXO3!G179</f>
        <v>0</v>
      </c>
      <c r="I77" s="258">
        <f>+ANEXO6!G81</f>
        <v>0</v>
      </c>
      <c r="J77" s="258">
        <f>+ANEXO7!G87</f>
        <v>0</v>
      </c>
      <c r="K77" s="158">
        <f t="shared" si="6"/>
        <v>232640</v>
      </c>
    </row>
    <row r="78" spans="1:11" ht="12.75">
      <c r="A78" s="193">
        <v>10</v>
      </c>
      <c r="B78" s="200" t="s">
        <v>895</v>
      </c>
      <c r="C78" s="258">
        <f>+ANEXO1!H115</f>
        <v>2520</v>
      </c>
      <c r="D78" s="258">
        <f>+ANEXO2!G117+ANEXO2!D238+ANEXO2!D360+ANEXO2!D480+ANEXO2!D597+ANEXO2!N717+ANEXO2!D813+ANEXO2!D928+ANEXO2!D1025</f>
        <v>45290</v>
      </c>
      <c r="E78" s="258">
        <f>+ANEXO4!K117</f>
        <v>14750</v>
      </c>
      <c r="F78" s="258">
        <f>+ANEXO5!D113+ANEXO5!G226+ANEXO5!D341+ANEXO5!I456+ANEXO5!D571+ANEXO5!F686+ANEXO5!D802</f>
        <v>5280</v>
      </c>
      <c r="G78" s="343">
        <f t="shared" si="5"/>
        <v>67840</v>
      </c>
      <c r="H78" s="258">
        <f>+ANEXO3!G89+ANEXO3!G180</f>
        <v>4200</v>
      </c>
      <c r="I78" s="258">
        <f>+ANEXO6!G82</f>
        <v>3150</v>
      </c>
      <c r="J78" s="258">
        <f>+ANEXO7!G88</f>
        <v>19000</v>
      </c>
      <c r="K78" s="158">
        <f t="shared" si="6"/>
        <v>94190</v>
      </c>
    </row>
    <row r="79" spans="1:11" ht="12.75">
      <c r="A79" s="193" t="s">
        <v>729</v>
      </c>
      <c r="B79" s="200" t="s">
        <v>739</v>
      </c>
      <c r="C79" s="258">
        <v>0</v>
      </c>
      <c r="D79" s="258">
        <f>+ANEXO2!D481</f>
        <v>0</v>
      </c>
      <c r="E79" s="258"/>
      <c r="F79" s="258"/>
      <c r="G79" s="343"/>
      <c r="H79" s="258"/>
      <c r="I79" s="258"/>
      <c r="J79" s="258"/>
      <c r="K79" s="158">
        <f t="shared" si="6"/>
        <v>0</v>
      </c>
    </row>
    <row r="80" spans="1:11" ht="12.75">
      <c r="A80" s="193" t="s">
        <v>911</v>
      </c>
      <c r="B80" s="200" t="s">
        <v>738</v>
      </c>
      <c r="C80" s="258">
        <f>+ANEXO1!H116</f>
        <v>0</v>
      </c>
      <c r="D80" s="258">
        <f>+ANEXO2!G118+ANEXO2!D239+ANEXO2!D361+ANEXO2!D482+ANEXO2!D598+ANEXO2!N718+ANEXO2!D814+ANEXO2!D929+ANEXO2!D1026</f>
        <v>29410</v>
      </c>
      <c r="E80" s="258">
        <f>+ANEXO4!K118</f>
        <v>1180</v>
      </c>
      <c r="F80" s="258">
        <f>+ANEXO5!D114+ANEXO5!G227+ANEXO5!D342+ANEXO5!I457+ANEXO5!D572+ANEXO5!F687+ANEXO5!D803</f>
        <v>9360</v>
      </c>
      <c r="G80" s="343">
        <f t="shared" si="5"/>
        <v>39950</v>
      </c>
      <c r="H80" s="258">
        <f>+ANEXO3!G181</f>
        <v>4200</v>
      </c>
      <c r="I80" s="258">
        <f>+ANEXO6!G83</f>
        <v>250</v>
      </c>
      <c r="J80" s="258">
        <f>+ANEXO7!G89</f>
        <v>0</v>
      </c>
      <c r="K80" s="158">
        <f t="shared" si="6"/>
        <v>44400</v>
      </c>
    </row>
    <row r="81" spans="1:12" ht="12.75">
      <c r="A81" s="159"/>
      <c r="B81" s="160" t="s">
        <v>638</v>
      </c>
      <c r="C81" s="158">
        <f aca="true" t="shared" si="7" ref="C81:K81">SUM(C69:C80)</f>
        <v>6600</v>
      </c>
      <c r="D81" s="158">
        <f t="shared" si="7"/>
        <v>716390</v>
      </c>
      <c r="E81" s="158">
        <f t="shared" si="7"/>
        <v>353990</v>
      </c>
      <c r="F81" s="158">
        <f t="shared" si="7"/>
        <v>2154520</v>
      </c>
      <c r="G81" s="158">
        <f>SUM(G69:G80)</f>
        <v>3231500</v>
      </c>
      <c r="H81" s="158">
        <f>SUM(H69:H80)</f>
        <v>69840</v>
      </c>
      <c r="I81" s="158">
        <f>SUM(I69:I80)</f>
        <v>33930</v>
      </c>
      <c r="J81" s="158">
        <f>SUM(J69:J80)</f>
        <v>55850</v>
      </c>
      <c r="K81" s="158">
        <f t="shared" si="7"/>
        <v>3391120</v>
      </c>
      <c r="L81" s="50"/>
    </row>
    <row r="82" ht="12.75">
      <c r="D82" s="84"/>
    </row>
    <row r="83" ht="12.75">
      <c r="D83" s="9"/>
    </row>
    <row r="84" ht="12.75">
      <c r="D84" s="9"/>
    </row>
    <row r="85" ht="12.75">
      <c r="D85" s="9"/>
    </row>
    <row r="86" ht="12.75">
      <c r="D86" s="9"/>
    </row>
  </sheetData>
  <sheetProtection/>
  <mergeCells count="6">
    <mergeCell ref="A2:K2"/>
    <mergeCell ref="A3:K3"/>
    <mergeCell ref="A64:K64"/>
    <mergeCell ref="A30:K30"/>
    <mergeCell ref="A31:K31"/>
    <mergeCell ref="A63:K63"/>
  </mergeCells>
  <printOptions horizontalCentered="1"/>
  <pageMargins left="0.75" right="0.75" top="0.7874015748031497" bottom="1" header="0" footer="0"/>
  <pageSetup horizontalDpi="600" verticalDpi="600" orientation="landscape" paperSize="9" scale="85" r:id="rId1"/>
  <rowBreaks count="2" manualBreakCount="2">
    <brk id="28" max="255" man="1"/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75" zoomScalePageLayoutView="0" workbookViewId="0" topLeftCell="C1">
      <selection activeCell="A2" sqref="A2:I2"/>
    </sheetView>
  </sheetViews>
  <sheetFormatPr defaultColWidth="11.421875" defaultRowHeight="12.75"/>
  <cols>
    <col min="1" max="1" width="33.140625" style="13" customWidth="1"/>
    <col min="2" max="2" width="14.8515625" style="13" bestFit="1" customWidth="1"/>
    <col min="3" max="3" width="18.140625" style="13" bestFit="1" customWidth="1"/>
    <col min="4" max="4" width="11.28125" style="13" bestFit="1" customWidth="1"/>
    <col min="5" max="5" width="13.421875" style="13" bestFit="1" customWidth="1"/>
    <col min="6" max="6" width="8.421875" style="13" bestFit="1" customWidth="1"/>
    <col min="7" max="7" width="13.8515625" style="13" bestFit="1" customWidth="1"/>
    <col min="8" max="8" width="8.421875" style="13" bestFit="1" customWidth="1"/>
    <col min="9" max="9" width="11.7109375" style="13" bestFit="1" customWidth="1"/>
    <col min="10" max="10" width="8.421875" style="13" bestFit="1" customWidth="1"/>
    <col min="11" max="16384" width="11.421875" style="13" customWidth="1"/>
  </cols>
  <sheetData>
    <row r="1" spans="1:10" s="15" customFormat="1" ht="12.75">
      <c r="A1" s="54"/>
      <c r="B1" s="48"/>
      <c r="C1" s="48"/>
      <c r="D1" s="48"/>
      <c r="E1" s="48"/>
      <c r="F1" s="48"/>
      <c r="G1" s="48"/>
      <c r="H1" s="48"/>
      <c r="I1" s="57" t="s">
        <v>363</v>
      </c>
      <c r="J1" s="48"/>
    </row>
    <row r="2" spans="1:10" ht="15">
      <c r="A2" s="761" t="s">
        <v>382</v>
      </c>
      <c r="B2" s="761"/>
      <c r="C2" s="761"/>
      <c r="D2" s="761"/>
      <c r="E2" s="761"/>
      <c r="F2" s="761"/>
      <c r="G2" s="761"/>
      <c r="H2" s="761"/>
      <c r="I2" s="761"/>
      <c r="J2" s="48"/>
    </row>
    <row r="3" spans="1:10" ht="12.7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2.75">
      <c r="A4" s="764" t="s">
        <v>755</v>
      </c>
      <c r="B4" s="764"/>
      <c r="C4" s="764"/>
      <c r="D4" s="764"/>
      <c r="E4" s="764"/>
      <c r="F4" s="764"/>
      <c r="G4" s="764"/>
      <c r="H4" s="764"/>
      <c r="I4" s="764"/>
      <c r="J4" s="48"/>
    </row>
    <row r="5" spans="1:10" ht="12.75">
      <c r="A5" s="764"/>
      <c r="B5" s="764"/>
      <c r="C5" s="764"/>
      <c r="D5" s="764"/>
      <c r="E5" s="764"/>
      <c r="F5" s="764"/>
      <c r="G5" s="764"/>
      <c r="H5" s="764"/>
      <c r="I5" s="764"/>
      <c r="J5" s="48"/>
    </row>
    <row r="6" spans="1:10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3.5" thickBot="1">
      <c r="A7" s="179" t="s">
        <v>536</v>
      </c>
      <c r="B7" s="242" t="s">
        <v>638</v>
      </c>
      <c r="C7" s="179" t="s">
        <v>754</v>
      </c>
      <c r="D7" s="179" t="s">
        <v>538</v>
      </c>
      <c r="E7" s="179" t="s">
        <v>642</v>
      </c>
      <c r="F7" s="179" t="s">
        <v>538</v>
      </c>
      <c r="G7" s="179" t="s">
        <v>760</v>
      </c>
      <c r="H7" s="179" t="s">
        <v>538</v>
      </c>
      <c r="I7" s="179" t="s">
        <v>643</v>
      </c>
      <c r="J7" s="179" t="s">
        <v>538</v>
      </c>
    </row>
    <row r="8" spans="2:9" s="14" customFormat="1" ht="13.5" thickBot="1">
      <c r="B8" s="50"/>
      <c r="C8" s="14">
        <v>1</v>
      </c>
      <c r="E8" s="14">
        <v>2</v>
      </c>
      <c r="G8" s="14">
        <v>3</v>
      </c>
      <c r="I8" s="14">
        <v>4</v>
      </c>
    </row>
    <row r="9" spans="1:10" ht="13.5" thickBot="1">
      <c r="A9" s="185" t="s">
        <v>539</v>
      </c>
      <c r="B9" s="184">
        <f aca="true" t="shared" si="0" ref="B9:I9">+SUM(B11:B15)</f>
        <v>90694561.653</v>
      </c>
      <c r="C9" s="186">
        <f t="shared" si="0"/>
        <v>84605541.653</v>
      </c>
      <c r="D9" s="243">
        <f>+C9/B9</f>
        <v>0.932862347101949</v>
      </c>
      <c r="E9" s="186">
        <f t="shared" si="0"/>
        <v>3192920</v>
      </c>
      <c r="F9" s="243">
        <f>+E9/B9</f>
        <v>0.035205197994298755</v>
      </c>
      <c r="G9" s="186">
        <f t="shared" si="0"/>
        <v>1736470</v>
      </c>
      <c r="H9" s="243">
        <f>+G9/B9</f>
        <v>0.01914635197911628</v>
      </c>
      <c r="I9" s="186">
        <f t="shared" si="0"/>
        <v>1159630</v>
      </c>
      <c r="J9" s="243">
        <f>+I9/B9</f>
        <v>0.012786102924635964</v>
      </c>
    </row>
    <row r="10" spans="1:10" ht="12.75">
      <c r="A10" s="254"/>
      <c r="B10" s="248"/>
      <c r="C10" s="170"/>
      <c r="D10" s="259"/>
      <c r="E10" s="170"/>
      <c r="F10" s="259"/>
      <c r="G10" s="170"/>
      <c r="H10" s="259"/>
      <c r="I10" s="170"/>
      <c r="J10" s="259"/>
    </row>
    <row r="11" spans="1:10" ht="12.75">
      <c r="A11" s="255" t="s">
        <v>644</v>
      </c>
      <c r="B11" s="249">
        <f>+C11+E11+G11+I11</f>
        <v>60013431.653</v>
      </c>
      <c r="C11" s="263">
        <f>+'res gral'!C11+'res gral'!D11+'res gral'!E11+'res gral'!F11</f>
        <v>54761991.653</v>
      </c>
      <c r="D11" s="260">
        <f>+C11/B11</f>
        <v>0.9124955888147834</v>
      </c>
      <c r="E11" s="263">
        <f>+'res gral'!G11</f>
        <v>3050080</v>
      </c>
      <c r="F11" s="260">
        <f>+E11/B11</f>
        <v>0.05082328932022554</v>
      </c>
      <c r="G11" s="263">
        <f>+'res gral'!H11</f>
        <v>1144610</v>
      </c>
      <c r="H11" s="260">
        <f>+G11/B11</f>
        <v>0.019072563732368774</v>
      </c>
      <c r="I11" s="263">
        <f>+'res gral'!I11</f>
        <v>1056750</v>
      </c>
      <c r="J11" s="264">
        <f>+I11/B11</f>
        <v>0.017608558132622205</v>
      </c>
    </row>
    <row r="12" spans="1:10" ht="12.75">
      <c r="A12" s="255" t="s">
        <v>645</v>
      </c>
      <c r="B12" s="249">
        <f>+C12+E12+G12+I12</f>
        <v>4505600</v>
      </c>
      <c r="C12" s="263">
        <f>+'res gral'!C12+'res gral'!D12+'res gral'!E12+'res gral'!F12</f>
        <v>4194760</v>
      </c>
      <c r="D12" s="260">
        <f>+C12/B12</f>
        <v>0.9310102982954546</v>
      </c>
      <c r="E12" s="263">
        <f>+'res gral'!G12</f>
        <v>41580</v>
      </c>
      <c r="F12" s="260">
        <f>+E12/B12</f>
        <v>0.009228515625</v>
      </c>
      <c r="G12" s="263">
        <f>+'res gral'!H12</f>
        <v>212820</v>
      </c>
      <c r="H12" s="260">
        <f>+G12/B12</f>
        <v>0.04723455255681818</v>
      </c>
      <c r="I12" s="263">
        <f>+'res gral'!I12</f>
        <v>56440</v>
      </c>
      <c r="J12" s="264">
        <f>+I12/B12</f>
        <v>0.012526633522727273</v>
      </c>
    </row>
    <row r="13" spans="1:10" ht="12.75">
      <c r="A13" s="255" t="s">
        <v>646</v>
      </c>
      <c r="B13" s="249">
        <f>+C13+E13+G13+I13</f>
        <v>22086890</v>
      </c>
      <c r="C13" s="263">
        <f>+'res gral'!C13+'res gral'!D13+'res gral'!E13+'res gral'!F13</f>
        <v>21570150</v>
      </c>
      <c r="D13" s="260">
        <f>+C13/B13</f>
        <v>0.9766042208749172</v>
      </c>
      <c r="E13" s="263">
        <f>+'res gral'!G13</f>
        <v>91260</v>
      </c>
      <c r="F13" s="260">
        <f>+E13/B13</f>
        <v>0.004131862838090831</v>
      </c>
      <c r="G13" s="263">
        <f>+'res gral'!H13</f>
        <v>379040</v>
      </c>
      <c r="H13" s="260">
        <f>+G13/B13</f>
        <v>0.01716131152914693</v>
      </c>
      <c r="I13" s="263">
        <f>+'res gral'!I13</f>
        <v>46440</v>
      </c>
      <c r="J13" s="264">
        <f>+I13/B13</f>
        <v>0.0021026047578450386</v>
      </c>
    </row>
    <row r="14" spans="1:10" ht="12.75">
      <c r="A14" s="255" t="s">
        <v>647</v>
      </c>
      <c r="B14" s="249">
        <f>+C14+E14+G14+I14</f>
        <v>1834000</v>
      </c>
      <c r="C14" s="263">
        <f>+'res gral'!C14+'res gral'!D14+'res gral'!E14+'res gral'!F14</f>
        <v>1834000</v>
      </c>
      <c r="D14" s="260">
        <f>+C14/B14</f>
        <v>1</v>
      </c>
      <c r="E14" s="263">
        <f>+'res gral'!G14</f>
        <v>0</v>
      </c>
      <c r="F14" s="260">
        <f>+E14/B14</f>
        <v>0</v>
      </c>
      <c r="G14" s="263">
        <f>+'res gral'!H14</f>
        <v>0</v>
      </c>
      <c r="H14" s="260">
        <f>+G14/B14</f>
        <v>0</v>
      </c>
      <c r="I14" s="263">
        <f>+'res gral'!I14</f>
        <v>0</v>
      </c>
      <c r="J14" s="264">
        <f>+I14/B14</f>
        <v>0</v>
      </c>
    </row>
    <row r="15" spans="1:10" ht="12.75">
      <c r="A15" s="255" t="s">
        <v>648</v>
      </c>
      <c r="B15" s="249">
        <f>+C15+E15+G15+I15</f>
        <v>2254640</v>
      </c>
      <c r="C15" s="263">
        <f>+'res gral'!C15+'res gral'!D15+'res gral'!E15+'res gral'!F15</f>
        <v>2244640</v>
      </c>
      <c r="D15" s="260">
        <f>+C15/B15</f>
        <v>0.9955647021253947</v>
      </c>
      <c r="E15" s="263">
        <f>+'res gral'!G15</f>
        <v>10000</v>
      </c>
      <c r="F15" s="260">
        <f>+E15/B15</f>
        <v>0.004435297874605258</v>
      </c>
      <c r="G15" s="263">
        <f>+'res gral'!H15</f>
        <v>0</v>
      </c>
      <c r="H15" s="260">
        <f>+G15/B15</f>
        <v>0</v>
      </c>
      <c r="I15" s="263">
        <f>+'res gral'!I15</f>
        <v>0</v>
      </c>
      <c r="J15" s="264">
        <f>+I15/B15</f>
        <v>0</v>
      </c>
    </row>
    <row r="16" spans="1:10" ht="13.5" thickBot="1">
      <c r="A16" s="255"/>
      <c r="B16" s="250"/>
      <c r="C16" s="171"/>
      <c r="D16" s="261"/>
      <c r="E16" s="171"/>
      <c r="F16" s="261"/>
      <c r="G16" s="171"/>
      <c r="H16" s="261"/>
      <c r="I16" s="171"/>
      <c r="J16" s="261"/>
    </row>
    <row r="17" spans="1:10" ht="13.5" thickBot="1">
      <c r="A17" s="185" t="s">
        <v>548</v>
      </c>
      <c r="B17" s="251">
        <f aca="true" t="shared" si="1" ref="B17:I17">+SUM(B19:B21)</f>
        <v>15059850</v>
      </c>
      <c r="C17" s="186">
        <f t="shared" si="1"/>
        <v>14900230</v>
      </c>
      <c r="D17" s="252">
        <f>+C17/B17</f>
        <v>0.9894009568488398</v>
      </c>
      <c r="E17" s="186">
        <f t="shared" si="1"/>
        <v>33930</v>
      </c>
      <c r="F17" s="252">
        <f>+E17/B17</f>
        <v>0.0022530104881522722</v>
      </c>
      <c r="G17" s="186">
        <f t="shared" si="1"/>
        <v>69840</v>
      </c>
      <c r="H17" s="252">
        <f>+G17/B17</f>
        <v>0.004637496389406269</v>
      </c>
      <c r="I17" s="186">
        <f t="shared" si="1"/>
        <v>55850</v>
      </c>
      <c r="J17" s="252">
        <f>+I17/B17</f>
        <v>0.0037085362736016627</v>
      </c>
    </row>
    <row r="18" spans="1:10" ht="12.75">
      <c r="A18" s="255"/>
      <c r="B18" s="248"/>
      <c r="C18" s="171"/>
      <c r="D18" s="261"/>
      <c r="E18" s="171"/>
      <c r="F18" s="261"/>
      <c r="G18" s="171"/>
      <c r="H18" s="261"/>
      <c r="I18" s="171"/>
      <c r="J18" s="261"/>
    </row>
    <row r="19" spans="1:10" ht="12.75">
      <c r="A19" s="255" t="s">
        <v>649</v>
      </c>
      <c r="B19" s="249">
        <f>+C19+E19+G19+I19</f>
        <v>3391120</v>
      </c>
      <c r="C19" s="263">
        <f>+'res gral'!C19+'res gral'!D19+'res gral'!E19+'res gral'!F19</f>
        <v>3231500</v>
      </c>
      <c r="D19" s="260">
        <f>+C19/B19</f>
        <v>0.952930005425936</v>
      </c>
      <c r="E19" s="263">
        <f>+'res gral'!G19</f>
        <v>33930</v>
      </c>
      <c r="F19" s="260">
        <f>+E19/B19</f>
        <v>0.010005543891103825</v>
      </c>
      <c r="G19" s="263">
        <f>+'serv.espec.'!B18</f>
        <v>69840</v>
      </c>
      <c r="H19" s="260">
        <f>+G19/B19</f>
        <v>0.020594965675057208</v>
      </c>
      <c r="I19" s="263">
        <f>+'res gral'!I19</f>
        <v>55850</v>
      </c>
      <c r="J19" s="264">
        <f>+I19/B19</f>
        <v>0.016469485007902993</v>
      </c>
    </row>
    <row r="20" spans="1:10" ht="12.75">
      <c r="A20" s="255" t="s">
        <v>650</v>
      </c>
      <c r="B20" s="249">
        <f>+C20+E20+G20+I20</f>
        <v>11668730</v>
      </c>
      <c r="C20" s="263">
        <f>+'res gral'!C20+'res gral'!D20+'res gral'!E20+'res gral'!F20</f>
        <v>11668730</v>
      </c>
      <c r="D20" s="260">
        <f>+C20/B20</f>
        <v>1</v>
      </c>
      <c r="E20" s="263">
        <f>+'res gral'!G20</f>
        <v>0</v>
      </c>
      <c r="F20" s="260">
        <f>+E20/B20</f>
        <v>0</v>
      </c>
      <c r="G20" s="263">
        <v>0</v>
      </c>
      <c r="H20" s="260">
        <f>+G20/B20</f>
        <v>0</v>
      </c>
      <c r="I20" s="263">
        <f>+'res gral'!I20</f>
        <v>0</v>
      </c>
      <c r="J20" s="264">
        <f>+I20/B20</f>
        <v>0</v>
      </c>
    </row>
    <row r="21" spans="1:10" ht="12.75">
      <c r="A21" s="255" t="s">
        <v>651</v>
      </c>
      <c r="B21" s="249">
        <f>+C21+E21+G21+I21</f>
        <v>0</v>
      </c>
      <c r="C21" s="263">
        <f>+'res gral'!C21+'res gral'!D21+'res gral'!E21+'res gral'!F21</f>
        <v>0</v>
      </c>
      <c r="D21" s="260">
        <v>0</v>
      </c>
      <c r="E21" s="263">
        <f>+'res gral'!G21</f>
        <v>0</v>
      </c>
      <c r="F21" s="260">
        <v>0</v>
      </c>
      <c r="G21" s="263">
        <v>0</v>
      </c>
      <c r="H21" s="260">
        <v>0</v>
      </c>
      <c r="I21" s="263">
        <f>+'res gral'!I21</f>
        <v>0</v>
      </c>
      <c r="J21" s="264">
        <v>0</v>
      </c>
    </row>
    <row r="22" spans="1:10" ht="13.5" thickBot="1">
      <c r="A22" s="255"/>
      <c r="B22" s="250"/>
      <c r="C22" s="171"/>
      <c r="D22" s="261"/>
      <c r="E22" s="171"/>
      <c r="F22" s="261"/>
      <c r="G22" s="171"/>
      <c r="H22" s="261"/>
      <c r="I22" s="171"/>
      <c r="J22" s="261"/>
    </row>
    <row r="23" spans="1:10" ht="13.5" thickBot="1">
      <c r="A23" s="185" t="s">
        <v>553</v>
      </c>
      <c r="B23" s="251">
        <f>+SUM(B25:B25)</f>
        <v>3682780</v>
      </c>
      <c r="C23" s="186">
        <f>+SUM(C25:C25)</f>
        <v>3682780</v>
      </c>
      <c r="D23" s="252">
        <f>+C23/B23</f>
        <v>1</v>
      </c>
      <c r="E23" s="186">
        <f>+SUM(E25:E25)</f>
        <v>0</v>
      </c>
      <c r="F23" s="252">
        <f>+E23/B23</f>
        <v>0</v>
      </c>
      <c r="G23" s="186">
        <f>+SUM(G25:G25)</f>
        <v>0</v>
      </c>
      <c r="H23" s="252">
        <f>+G23/D23</f>
        <v>0</v>
      </c>
      <c r="I23" s="186">
        <f>+SUM(I25:I25)</f>
        <v>0</v>
      </c>
      <c r="J23" s="252">
        <f>+I23/B23</f>
        <v>0</v>
      </c>
    </row>
    <row r="24" spans="1:10" ht="12.75">
      <c r="A24" s="255"/>
      <c r="B24" s="248"/>
      <c r="C24" s="171"/>
      <c r="D24" s="261"/>
      <c r="E24" s="171"/>
      <c r="F24" s="261"/>
      <c r="G24" s="171"/>
      <c r="H24" s="261"/>
      <c r="I24" s="171"/>
      <c r="J24" s="261"/>
    </row>
    <row r="25" spans="1:10" ht="12.75">
      <c r="A25" s="255" t="s">
        <v>652</v>
      </c>
      <c r="B25" s="249">
        <f>+C25+E25+G25+I25</f>
        <v>3682780</v>
      </c>
      <c r="C25" s="263">
        <f>+'res gral'!C25+'res gral'!D25+'res gral'!E25+'res gral'!F25</f>
        <v>3682780</v>
      </c>
      <c r="D25" s="260">
        <f>+C25/B25</f>
        <v>1</v>
      </c>
      <c r="E25" s="263">
        <f>+'res gral'!G25</f>
        <v>0</v>
      </c>
      <c r="F25" s="260">
        <f>+E25/B25</f>
        <v>0</v>
      </c>
      <c r="G25" s="263">
        <f>+'serv.espec.'!B22</f>
        <v>0</v>
      </c>
      <c r="H25" s="260">
        <f>+G25/D25</f>
        <v>0</v>
      </c>
      <c r="I25" s="263">
        <f>+'res gral'!I25</f>
        <v>0</v>
      </c>
      <c r="J25" s="264">
        <f>+I25/B25</f>
        <v>0</v>
      </c>
    </row>
    <row r="26" spans="1:10" ht="13.5" thickBot="1">
      <c r="A26" s="256"/>
      <c r="B26" s="250"/>
      <c r="C26" s="176"/>
      <c r="D26" s="262"/>
      <c r="E26" s="176"/>
      <c r="F26" s="262"/>
      <c r="G26" s="176"/>
      <c r="H26" s="253"/>
      <c r="I26" s="176"/>
      <c r="J26" s="262"/>
    </row>
    <row r="27" spans="1:10" ht="13.5" thickBot="1">
      <c r="A27" s="161" t="s">
        <v>561</v>
      </c>
      <c r="B27" s="184">
        <f>+B9+B17+B23</f>
        <v>109437191.653</v>
      </c>
      <c r="C27" s="184">
        <f aca="true" t="shared" si="2" ref="C27:I27">+C9+C17+C23</f>
        <v>103188551.653</v>
      </c>
      <c r="D27" s="244">
        <f>+C27/B27</f>
        <v>0.9429020435775345</v>
      </c>
      <c r="E27" s="184">
        <f t="shared" si="2"/>
        <v>3226850</v>
      </c>
      <c r="F27" s="244">
        <f>+E27/B27</f>
        <v>0.02948586263280215</v>
      </c>
      <c r="G27" s="184">
        <f t="shared" si="2"/>
        <v>1806310</v>
      </c>
      <c r="H27" s="244">
        <f>+G27/B27</f>
        <v>0.016505449132205356</v>
      </c>
      <c r="I27" s="184">
        <f t="shared" si="2"/>
        <v>1215480</v>
      </c>
      <c r="J27" s="244">
        <f>+I27/B27</f>
        <v>0.011106644657458004</v>
      </c>
    </row>
    <row r="29" ht="12.75">
      <c r="E29" s="154"/>
    </row>
  </sheetData>
  <sheetProtection/>
  <mergeCells count="3">
    <mergeCell ref="A2:I2"/>
    <mergeCell ref="A4:I4"/>
    <mergeCell ref="A5:I5"/>
  </mergeCells>
  <printOptions horizontalCentered="1"/>
  <pageMargins left="0.1968503937007874" right="0.1968503937007874" top="0.5905511811023623" bottom="0.3937007874015748" header="0.1968503937007874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zoomScalePageLayoutView="0" workbookViewId="0" topLeftCell="B2">
      <selection activeCell="A4" sqref="A4:I4"/>
    </sheetView>
  </sheetViews>
  <sheetFormatPr defaultColWidth="11.421875" defaultRowHeight="12.75"/>
  <cols>
    <col min="1" max="1" width="33.140625" style="13" customWidth="1"/>
    <col min="2" max="2" width="14.8515625" style="13" bestFit="1" customWidth="1"/>
    <col min="3" max="3" width="14.421875" style="13" bestFit="1" customWidth="1"/>
    <col min="4" max="4" width="14.8515625" style="13" bestFit="1" customWidth="1"/>
    <col min="5" max="5" width="13.421875" style="13" bestFit="1" customWidth="1"/>
    <col min="6" max="6" width="16.140625" style="13" bestFit="1" customWidth="1"/>
    <col min="7" max="7" width="13.421875" style="13" bestFit="1" customWidth="1"/>
    <col min="8" max="8" width="13.00390625" style="13" customWidth="1"/>
    <col min="9" max="9" width="11.28125" style="13" bestFit="1" customWidth="1"/>
    <col min="10" max="16384" width="11.421875" style="13" customWidth="1"/>
  </cols>
  <sheetData>
    <row r="1" spans="1:9" s="15" customFormat="1" ht="12.75">
      <c r="A1" s="54">
        <f>+'res jusd.'!A1</f>
        <v>0</v>
      </c>
      <c r="B1" s="48"/>
      <c r="C1" s="48"/>
      <c r="D1" s="48"/>
      <c r="E1" s="48"/>
      <c r="F1" s="48"/>
      <c r="G1" s="48"/>
      <c r="H1" s="33" t="s">
        <v>363</v>
      </c>
      <c r="I1" s="48"/>
    </row>
    <row r="2" spans="1:9" ht="15">
      <c r="A2" s="761" t="s">
        <v>382</v>
      </c>
      <c r="B2" s="761"/>
      <c r="C2" s="761"/>
      <c r="D2" s="761"/>
      <c r="E2" s="761"/>
      <c r="F2" s="761"/>
      <c r="G2" s="761"/>
      <c r="H2" s="761"/>
      <c r="I2" s="761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9" ht="12.75">
      <c r="A4" s="764" t="s">
        <v>636</v>
      </c>
      <c r="B4" s="764"/>
      <c r="C4" s="764"/>
      <c r="D4" s="764"/>
      <c r="E4" s="764"/>
      <c r="F4" s="764"/>
      <c r="G4" s="764"/>
      <c r="H4" s="764"/>
      <c r="I4" s="764"/>
    </row>
    <row r="5" spans="1:9" ht="12.75">
      <c r="A5" s="764" t="s">
        <v>637</v>
      </c>
      <c r="B5" s="764"/>
      <c r="C5" s="764"/>
      <c r="D5" s="764"/>
      <c r="E5" s="764"/>
      <c r="F5" s="764"/>
      <c r="G5" s="764"/>
      <c r="H5" s="764"/>
      <c r="I5" s="764"/>
    </row>
    <row r="6" spans="1:9" ht="13.5" thickBot="1">
      <c r="A6" s="48"/>
      <c r="B6" s="48"/>
      <c r="C6" s="48"/>
      <c r="D6" s="48"/>
      <c r="E6" s="48"/>
      <c r="F6" s="48"/>
      <c r="G6" s="48"/>
      <c r="H6" s="48"/>
      <c r="I6" s="48"/>
    </row>
    <row r="7" spans="1:9" ht="13.5" thickBot="1">
      <c r="A7" s="179" t="s">
        <v>536</v>
      </c>
      <c r="B7" s="242" t="s">
        <v>638</v>
      </c>
      <c r="C7" s="179" t="s">
        <v>639</v>
      </c>
      <c r="D7" s="179" t="s">
        <v>640</v>
      </c>
      <c r="E7" s="179" t="s">
        <v>641</v>
      </c>
      <c r="F7" s="179" t="s">
        <v>1065</v>
      </c>
      <c r="G7" s="179" t="s">
        <v>642</v>
      </c>
      <c r="H7" s="179" t="s">
        <v>760</v>
      </c>
      <c r="I7" s="179" t="s">
        <v>643</v>
      </c>
    </row>
    <row r="8" spans="3:9" s="34" customFormat="1" ht="13.5" thickBot="1">
      <c r="C8" s="34" t="s">
        <v>666</v>
      </c>
      <c r="D8" s="34" t="s">
        <v>668</v>
      </c>
      <c r="E8" s="34" t="s">
        <v>670</v>
      </c>
      <c r="F8" s="34" t="s">
        <v>672</v>
      </c>
      <c r="G8" s="34" t="s">
        <v>675</v>
      </c>
      <c r="H8" s="34" t="s">
        <v>677</v>
      </c>
      <c r="I8" s="34" t="s">
        <v>679</v>
      </c>
    </row>
    <row r="9" spans="1:9" ht="13.5" thickBot="1">
      <c r="A9" s="185" t="s">
        <v>539</v>
      </c>
      <c r="B9" s="184">
        <f aca="true" t="shared" si="0" ref="B9:I9">+SUM(B11:B15)</f>
        <v>90694561.653</v>
      </c>
      <c r="C9" s="186">
        <f t="shared" si="0"/>
        <v>2961580</v>
      </c>
      <c r="D9" s="186">
        <f t="shared" si="0"/>
        <v>26144244.653</v>
      </c>
      <c r="E9" s="186">
        <f t="shared" si="0"/>
        <v>9230420</v>
      </c>
      <c r="F9" s="186">
        <f t="shared" si="0"/>
        <v>46269297</v>
      </c>
      <c r="G9" s="186">
        <f t="shared" si="0"/>
        <v>3192920</v>
      </c>
      <c r="H9" s="186">
        <f t="shared" si="0"/>
        <v>1736470</v>
      </c>
      <c r="I9" s="186">
        <f t="shared" si="0"/>
        <v>1159630</v>
      </c>
    </row>
    <row r="10" spans="1:9" ht="12.75">
      <c r="A10" s="254"/>
      <c r="B10" s="245"/>
      <c r="C10" s="265"/>
      <c r="D10" s="265"/>
      <c r="E10" s="265"/>
      <c r="F10" s="265"/>
      <c r="G10" s="265"/>
      <c r="H10" s="265"/>
      <c r="I10" s="265"/>
    </row>
    <row r="11" spans="1:9" ht="12.75">
      <c r="A11" s="255" t="s">
        <v>644</v>
      </c>
      <c r="B11" s="246">
        <f>+SUM(C11:I11)</f>
        <v>60013431.653</v>
      </c>
      <c r="C11" s="263">
        <f>+intend!B11</f>
        <v>1401910</v>
      </c>
      <c r="D11" s="263">
        <f>+gob!B11</f>
        <v>18173104.653</v>
      </c>
      <c r="E11" s="263">
        <f>+hac!B11</f>
        <v>4696130</v>
      </c>
      <c r="F11" s="263">
        <f>+obras!B11</f>
        <v>30490847</v>
      </c>
      <c r="G11" s="263">
        <f>+hcd!G8</f>
        <v>3050080</v>
      </c>
      <c r="H11" s="263">
        <f>+'serv.espec.'!B11</f>
        <v>1144610</v>
      </c>
      <c r="I11" s="263">
        <f>+juzg!G8</f>
        <v>1056750</v>
      </c>
    </row>
    <row r="12" spans="1:9" ht="12.75">
      <c r="A12" s="255" t="s">
        <v>645</v>
      </c>
      <c r="B12" s="246">
        <f>+SUM(C12:I12)</f>
        <v>4505600</v>
      </c>
      <c r="C12" s="263">
        <f>+intend!B12</f>
        <v>35530</v>
      </c>
      <c r="D12" s="263">
        <f>+gob!B12</f>
        <v>787870</v>
      </c>
      <c r="E12" s="263">
        <f>+hac!B12</f>
        <v>357540</v>
      </c>
      <c r="F12" s="263">
        <f>+obras!B12</f>
        <v>3013820</v>
      </c>
      <c r="G12" s="263">
        <f>+hcd!G11</f>
        <v>41580</v>
      </c>
      <c r="H12" s="263">
        <f>+'serv.espec.'!B12</f>
        <v>212820</v>
      </c>
      <c r="I12" s="263">
        <f>+juzg!G11</f>
        <v>56440</v>
      </c>
    </row>
    <row r="13" spans="1:9" ht="12.75">
      <c r="A13" s="255" t="s">
        <v>646</v>
      </c>
      <c r="B13" s="246">
        <f>+SUM(C13:I13)</f>
        <v>22086890</v>
      </c>
      <c r="C13" s="263">
        <f>+intend!B13</f>
        <v>1335370</v>
      </c>
      <c r="D13" s="263">
        <f>+gob!B13</f>
        <v>5727400</v>
      </c>
      <c r="E13" s="263">
        <f>+hac!B13</f>
        <v>2342750</v>
      </c>
      <c r="F13" s="263">
        <f>+obras!B13</f>
        <v>12164630</v>
      </c>
      <c r="G13" s="263">
        <f>+hcd!G12</f>
        <v>91260</v>
      </c>
      <c r="H13" s="263">
        <f>+'serv.espec.'!B13</f>
        <v>379040</v>
      </c>
      <c r="I13" s="263">
        <f>+juzg!G12</f>
        <v>46440</v>
      </c>
    </row>
    <row r="14" spans="1:9" ht="12.75">
      <c r="A14" s="255" t="s">
        <v>647</v>
      </c>
      <c r="B14" s="246">
        <f>+SUM(C14:I14)</f>
        <v>1834000</v>
      </c>
      <c r="C14" s="263"/>
      <c r="D14" s="263"/>
      <c r="E14" s="263">
        <f>+hac!B14</f>
        <v>1834000</v>
      </c>
      <c r="F14" s="263"/>
      <c r="G14" s="263"/>
      <c r="H14" s="263"/>
      <c r="I14" s="263"/>
    </row>
    <row r="15" spans="1:9" ht="12.75">
      <c r="A15" s="255" t="s">
        <v>648</v>
      </c>
      <c r="B15" s="246">
        <f>+SUM(C15:I15)</f>
        <v>2254640</v>
      </c>
      <c r="C15" s="263">
        <f>+intend!B14</f>
        <v>188770</v>
      </c>
      <c r="D15" s="263">
        <f>+gob!B14</f>
        <v>1455870</v>
      </c>
      <c r="E15" s="263"/>
      <c r="F15" s="263">
        <f>+obras!B14</f>
        <v>600000</v>
      </c>
      <c r="G15" s="263">
        <f>+hcd!G15</f>
        <v>10000</v>
      </c>
      <c r="H15" s="263"/>
      <c r="I15" s="263"/>
    </row>
    <row r="16" spans="1:9" ht="13.5" thickBot="1">
      <c r="A16" s="255"/>
      <c r="B16" s="257"/>
      <c r="C16" s="266"/>
      <c r="D16" s="266"/>
      <c r="E16" s="266"/>
      <c r="F16" s="266"/>
      <c r="G16" s="266"/>
      <c r="H16" s="266"/>
      <c r="I16" s="266"/>
    </row>
    <row r="17" spans="1:9" ht="13.5" thickBot="1">
      <c r="A17" s="185" t="s">
        <v>548</v>
      </c>
      <c r="B17" s="184">
        <f aca="true" t="shared" si="1" ref="B17:I17">+SUM(B19:B21)</f>
        <v>15059850</v>
      </c>
      <c r="C17" s="186">
        <f t="shared" si="1"/>
        <v>6600</v>
      </c>
      <c r="D17" s="186">
        <f t="shared" si="1"/>
        <v>716390</v>
      </c>
      <c r="E17" s="186">
        <f t="shared" si="1"/>
        <v>353990</v>
      </c>
      <c r="F17" s="186">
        <f t="shared" si="1"/>
        <v>13823250</v>
      </c>
      <c r="G17" s="186">
        <f t="shared" si="1"/>
        <v>33930</v>
      </c>
      <c r="H17" s="186">
        <f t="shared" si="1"/>
        <v>69840</v>
      </c>
      <c r="I17" s="186">
        <f t="shared" si="1"/>
        <v>55850</v>
      </c>
    </row>
    <row r="18" spans="1:9" ht="12.75">
      <c r="A18" s="255"/>
      <c r="B18" s="257"/>
      <c r="C18" s="265"/>
      <c r="D18" s="265"/>
      <c r="E18" s="265"/>
      <c r="F18" s="265"/>
      <c r="G18" s="265"/>
      <c r="H18" s="265"/>
      <c r="I18" s="265"/>
    </row>
    <row r="19" spans="1:9" ht="12.75">
      <c r="A19" s="255" t="s">
        <v>649</v>
      </c>
      <c r="B19" s="246">
        <f>+SUM(C19:I19)</f>
        <v>3391120</v>
      </c>
      <c r="C19" s="263">
        <f>+intend!B18</f>
        <v>6600</v>
      </c>
      <c r="D19" s="263">
        <f>+gob!B18</f>
        <v>716390</v>
      </c>
      <c r="E19" s="263">
        <f>+hac!B18</f>
        <v>353990</v>
      </c>
      <c r="F19" s="263">
        <f>+obras!B18</f>
        <v>2154520</v>
      </c>
      <c r="G19" s="263">
        <f>+hcd!G19</f>
        <v>33930</v>
      </c>
      <c r="H19" s="263">
        <f>+'serv.espec.'!B18</f>
        <v>69840</v>
      </c>
      <c r="I19" s="263">
        <f>+juzg!G19</f>
        <v>55850</v>
      </c>
    </row>
    <row r="20" spans="1:9" ht="12.75">
      <c r="A20" s="255" t="s">
        <v>650</v>
      </c>
      <c r="B20" s="246">
        <f>+SUM(C20:I20)</f>
        <v>11668730</v>
      </c>
      <c r="C20" s="263"/>
      <c r="D20" s="263"/>
      <c r="E20" s="263"/>
      <c r="F20" s="263">
        <f>+obras!B19</f>
        <v>11668730</v>
      </c>
      <c r="G20" s="263"/>
      <c r="H20" s="263"/>
      <c r="I20" s="263"/>
    </row>
    <row r="21" spans="1:9" ht="12.75">
      <c r="A21" s="255" t="s">
        <v>651</v>
      </c>
      <c r="B21" s="246">
        <f>+SUM(C21:I21)</f>
        <v>0</v>
      </c>
      <c r="C21" s="263">
        <f>+intend!B19</f>
        <v>0</v>
      </c>
      <c r="D21" s="263"/>
      <c r="E21" s="263"/>
      <c r="F21" s="263"/>
      <c r="G21" s="263"/>
      <c r="H21" s="263"/>
      <c r="I21" s="263"/>
    </row>
    <row r="22" spans="1:9" ht="13.5" thickBot="1">
      <c r="A22" s="255"/>
      <c r="B22" s="257"/>
      <c r="C22" s="171"/>
      <c r="D22" s="171"/>
      <c r="E22" s="171"/>
      <c r="F22" s="171"/>
      <c r="G22" s="171"/>
      <c r="H22" s="171"/>
      <c r="I22" s="171"/>
    </row>
    <row r="23" spans="1:9" ht="13.5" thickBot="1">
      <c r="A23" s="185" t="s">
        <v>553</v>
      </c>
      <c r="B23" s="184">
        <f aca="true" t="shared" si="2" ref="B23:I23">+SUM(B25:B26)</f>
        <v>3682780</v>
      </c>
      <c r="C23" s="186">
        <f t="shared" si="2"/>
        <v>0</v>
      </c>
      <c r="D23" s="186">
        <f t="shared" si="2"/>
        <v>0</v>
      </c>
      <c r="E23" s="186">
        <f t="shared" si="2"/>
        <v>3682780</v>
      </c>
      <c r="F23" s="186">
        <f t="shared" si="2"/>
        <v>0</v>
      </c>
      <c r="G23" s="186">
        <f t="shared" si="2"/>
        <v>0</v>
      </c>
      <c r="H23" s="186">
        <f t="shared" si="2"/>
        <v>0</v>
      </c>
      <c r="I23" s="186">
        <f t="shared" si="2"/>
        <v>0</v>
      </c>
    </row>
    <row r="24" spans="1:9" ht="12.75">
      <c r="A24" s="255"/>
      <c r="B24" s="257"/>
      <c r="C24" s="263"/>
      <c r="D24" s="263"/>
      <c r="E24" s="263"/>
      <c r="F24" s="263"/>
      <c r="G24" s="263"/>
      <c r="H24" s="263"/>
      <c r="I24" s="263"/>
    </row>
    <row r="25" spans="1:9" ht="12.75">
      <c r="A25" s="255" t="s">
        <v>652</v>
      </c>
      <c r="B25" s="246">
        <f>+SUM(C25:I25)</f>
        <v>3682780</v>
      </c>
      <c r="C25" s="263"/>
      <c r="D25" s="263"/>
      <c r="E25" s="263">
        <f>+hac!B22</f>
        <v>3682780</v>
      </c>
      <c r="F25" s="263"/>
      <c r="G25" s="263"/>
      <c r="H25" s="263"/>
      <c r="I25" s="263"/>
    </row>
    <row r="26" spans="1:9" ht="12.75">
      <c r="A26" s="255"/>
      <c r="B26" s="246"/>
      <c r="C26" s="263"/>
      <c r="D26" s="263"/>
      <c r="E26" s="263"/>
      <c r="F26" s="263"/>
      <c r="G26" s="263"/>
      <c r="H26" s="263"/>
      <c r="I26" s="263"/>
    </row>
    <row r="27" spans="1:9" ht="13.5" thickBot="1">
      <c r="A27" s="256"/>
      <c r="B27" s="247"/>
      <c r="C27" s="263"/>
      <c r="D27" s="263"/>
      <c r="E27" s="263"/>
      <c r="F27" s="263"/>
      <c r="G27" s="263"/>
      <c r="H27" s="263"/>
      <c r="I27" s="263"/>
    </row>
    <row r="28" spans="1:9" ht="13.5" thickBot="1">
      <c r="A28" s="161" t="s">
        <v>561</v>
      </c>
      <c r="B28" s="184">
        <f aca="true" t="shared" si="3" ref="B28:I28">+B9+B17+B23</f>
        <v>109437191.653</v>
      </c>
      <c r="C28" s="184">
        <f t="shared" si="3"/>
        <v>2968180</v>
      </c>
      <c r="D28" s="184">
        <f t="shared" si="3"/>
        <v>26860634.653</v>
      </c>
      <c r="E28" s="184">
        <f t="shared" si="3"/>
        <v>13267190</v>
      </c>
      <c r="F28" s="184">
        <f t="shared" si="3"/>
        <v>60092547</v>
      </c>
      <c r="G28" s="184">
        <f t="shared" si="3"/>
        <v>3226850</v>
      </c>
      <c r="H28" s="184">
        <f t="shared" si="3"/>
        <v>1806310</v>
      </c>
      <c r="I28" s="184">
        <f t="shared" si="3"/>
        <v>1215480</v>
      </c>
    </row>
    <row r="31" ht="12.75">
      <c r="D31" s="155"/>
    </row>
  </sheetData>
  <sheetProtection/>
  <mergeCells count="3">
    <mergeCell ref="A2:I2"/>
    <mergeCell ref="A4:I4"/>
    <mergeCell ref="A5:I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="75" zoomScaleNormal="75" zoomScalePageLayoutView="0" workbookViewId="0" topLeftCell="A1">
      <selection activeCell="F1" sqref="F1"/>
    </sheetView>
  </sheetViews>
  <sheetFormatPr defaultColWidth="11.421875" defaultRowHeight="12.75"/>
  <cols>
    <col min="1" max="1" width="38.8515625" style="0" customWidth="1"/>
    <col min="2" max="2" width="18.421875" style="0" customWidth="1"/>
    <col min="3" max="3" width="14.28125" style="0" bestFit="1" customWidth="1"/>
    <col min="4" max="4" width="16.28125" style="0" customWidth="1"/>
    <col min="5" max="5" width="12.8515625" style="0" customWidth="1"/>
    <col min="6" max="6" width="13.28125" style="0" bestFit="1" customWidth="1"/>
  </cols>
  <sheetData>
    <row r="1" spans="1:6" ht="12.75">
      <c r="A1" s="54"/>
      <c r="B1" s="48"/>
      <c r="C1" s="48"/>
      <c r="D1" s="48"/>
      <c r="E1" s="33" t="s">
        <v>363</v>
      </c>
      <c r="F1" s="48"/>
    </row>
    <row r="2" spans="1:6" ht="15">
      <c r="A2" s="761" t="s">
        <v>382</v>
      </c>
      <c r="B2" s="761"/>
      <c r="C2" s="761"/>
      <c r="D2" s="761"/>
      <c r="E2" s="761"/>
      <c r="F2" s="761"/>
    </row>
    <row r="3" spans="1:6" ht="12.75">
      <c r="A3" s="48"/>
      <c r="B3" s="48"/>
      <c r="C3" s="48"/>
      <c r="D3" s="48"/>
      <c r="E3" s="48"/>
      <c r="F3" s="48"/>
    </row>
    <row r="4" spans="1:6" ht="12.75">
      <c r="A4" s="764" t="s">
        <v>636</v>
      </c>
      <c r="B4" s="764"/>
      <c r="C4" s="764"/>
      <c r="D4" s="764"/>
      <c r="E4" s="764"/>
      <c r="F4" s="764"/>
    </row>
    <row r="5" spans="1:6" ht="12.75">
      <c r="A5" s="764" t="s">
        <v>653</v>
      </c>
      <c r="B5" s="764"/>
      <c r="C5" s="764"/>
      <c r="D5" s="764"/>
      <c r="E5" s="764"/>
      <c r="F5" s="764"/>
    </row>
    <row r="6" spans="1:6" ht="13.5" thickBot="1">
      <c r="A6" s="48"/>
      <c r="B6" s="48"/>
      <c r="C6" s="48"/>
      <c r="D6" s="48"/>
      <c r="E6" s="48"/>
      <c r="F6" s="48"/>
    </row>
    <row r="7" spans="1:6" ht="13.5" thickBot="1">
      <c r="A7" s="179" t="s">
        <v>536</v>
      </c>
      <c r="B7" s="242" t="s">
        <v>638</v>
      </c>
      <c r="C7" s="179" t="s">
        <v>639</v>
      </c>
      <c r="D7" s="179" t="s">
        <v>654</v>
      </c>
      <c r="E7" s="179" t="s">
        <v>655</v>
      </c>
      <c r="F7" s="179" t="s">
        <v>656</v>
      </c>
    </row>
    <row r="8" spans="1:6" s="14" customFormat="1" ht="13.5" thickBot="1">
      <c r="A8" s="35"/>
      <c r="B8" s="36"/>
      <c r="C8" s="36">
        <v>111</v>
      </c>
      <c r="D8" s="36">
        <v>121</v>
      </c>
      <c r="E8" s="36">
        <v>131</v>
      </c>
      <c r="F8" s="37">
        <v>141</v>
      </c>
    </row>
    <row r="9" spans="1:6" ht="13.5" thickBot="1">
      <c r="A9" s="185" t="s">
        <v>539</v>
      </c>
      <c r="B9" s="184">
        <f>+SUM(B11:B14)</f>
        <v>2961580</v>
      </c>
      <c r="C9" s="186">
        <f>+SUM(C11:C14)</f>
        <v>397590</v>
      </c>
      <c r="D9" s="186">
        <f>+SUM(D11:D14)</f>
        <v>520940</v>
      </c>
      <c r="E9" s="186">
        <f>+SUM(E11:E14)</f>
        <v>704220</v>
      </c>
      <c r="F9" s="186">
        <f>+SUM(F11:F14)</f>
        <v>1338830</v>
      </c>
    </row>
    <row r="10" spans="1:6" ht="12.75">
      <c r="A10" s="162"/>
      <c r="B10" s="248"/>
      <c r="C10" s="170"/>
      <c r="D10" s="170"/>
      <c r="E10" s="170"/>
      <c r="F10" s="170"/>
    </row>
    <row r="11" spans="1:6" ht="12.75">
      <c r="A11" s="163" t="s">
        <v>644</v>
      </c>
      <c r="B11" s="249">
        <f>+SUM(C11:F11)</f>
        <v>1401910</v>
      </c>
      <c r="C11" s="269">
        <f>+'Int juris'!G8</f>
        <v>166420</v>
      </c>
      <c r="D11" s="269">
        <f>+'Int juris'!G36</f>
        <v>418570</v>
      </c>
      <c r="E11" s="269">
        <f>+'Int juris'!G64</f>
        <v>518310</v>
      </c>
      <c r="F11" s="269">
        <f>+'Int juris'!G92</f>
        <v>298610</v>
      </c>
    </row>
    <row r="12" spans="1:6" ht="12.75">
      <c r="A12" s="163" t="s">
        <v>645</v>
      </c>
      <c r="B12" s="249">
        <f>+SUM(C12:F12)</f>
        <v>35530</v>
      </c>
      <c r="C12" s="269">
        <f>+'Int juris'!G11</f>
        <v>1090</v>
      </c>
      <c r="D12" s="269">
        <f>+'Int juris'!G39</f>
        <v>6940</v>
      </c>
      <c r="E12" s="269">
        <f>+'Int juris'!G67</f>
        <v>6370</v>
      </c>
      <c r="F12" s="269">
        <f>+'Int juris'!G95</f>
        <v>21130</v>
      </c>
    </row>
    <row r="13" spans="1:6" ht="12.75">
      <c r="A13" s="163" t="s">
        <v>646</v>
      </c>
      <c r="B13" s="249">
        <f>+SUM(C13:F13)</f>
        <v>1335370</v>
      </c>
      <c r="C13" s="269">
        <f>+'Int juris'!G12</f>
        <v>41310</v>
      </c>
      <c r="D13" s="269">
        <f>+'Int juris'!G40</f>
        <v>95430</v>
      </c>
      <c r="E13" s="269">
        <f>+'Int juris'!G68</f>
        <v>179540</v>
      </c>
      <c r="F13" s="269">
        <f>+'Int juris'!G96</f>
        <v>1019090</v>
      </c>
    </row>
    <row r="14" spans="1:6" ht="12.75">
      <c r="A14" s="163" t="s">
        <v>648</v>
      </c>
      <c r="B14" s="249">
        <f>+SUM(C14:F14)</f>
        <v>188770</v>
      </c>
      <c r="C14" s="269">
        <f>+'Int juris'!G15</f>
        <v>188770</v>
      </c>
      <c r="D14" s="269"/>
      <c r="E14" s="269"/>
      <c r="F14" s="269"/>
    </row>
    <row r="15" spans="1:6" ht="13.5" thickBot="1">
      <c r="A15" s="175"/>
      <c r="B15" s="250"/>
      <c r="C15" s="171"/>
      <c r="D15" s="171"/>
      <c r="E15" s="171"/>
      <c r="F15" s="171"/>
    </row>
    <row r="16" spans="1:6" ht="13.5" thickBot="1">
      <c r="A16" s="185" t="s">
        <v>548</v>
      </c>
      <c r="B16" s="251">
        <f>+SUM(B18:B19)</f>
        <v>6600</v>
      </c>
      <c r="C16" s="186">
        <f>+SUM(C18:C19)</f>
        <v>0</v>
      </c>
      <c r="D16" s="186">
        <f>+SUM(D18:D18)</f>
        <v>0</v>
      </c>
      <c r="E16" s="186">
        <f>+SUM(E18:E18)</f>
        <v>5100</v>
      </c>
      <c r="F16" s="186">
        <f>+SUM(F18:F18)</f>
        <v>1500</v>
      </c>
    </row>
    <row r="17" spans="1:6" ht="12.75">
      <c r="A17" s="254"/>
      <c r="B17" s="268"/>
      <c r="C17" s="171"/>
      <c r="D17" s="171"/>
      <c r="E17" s="171"/>
      <c r="F17" s="171"/>
    </row>
    <row r="18" spans="1:6" ht="12.75">
      <c r="A18" s="255" t="s">
        <v>649</v>
      </c>
      <c r="B18" s="268">
        <f>+SUM(C18:F18)</f>
        <v>6600</v>
      </c>
      <c r="C18" s="269">
        <f>+'Int juris'!G19</f>
        <v>0</v>
      </c>
      <c r="D18" s="269">
        <f>+'Int juris'!G47</f>
        <v>0</v>
      </c>
      <c r="E18" s="269">
        <f>+'Int juris'!G75</f>
        <v>5100</v>
      </c>
      <c r="F18" s="269">
        <f>+'Int juris'!G103</f>
        <v>1500</v>
      </c>
    </row>
    <row r="19" spans="1:6" ht="12.75">
      <c r="A19" s="255" t="s">
        <v>651</v>
      </c>
      <c r="B19" s="268">
        <f>+SUM(C19:F19)</f>
        <v>0</v>
      </c>
      <c r="C19" s="269">
        <f>+'Int juris'!G22</f>
        <v>0</v>
      </c>
      <c r="D19" s="269"/>
      <c r="E19" s="269"/>
      <c r="F19" s="269"/>
    </row>
    <row r="20" spans="1:6" ht="13.5" thickBot="1">
      <c r="A20" s="256"/>
      <c r="B20" s="267"/>
      <c r="C20" s="270"/>
      <c r="D20" s="270"/>
      <c r="E20" s="270"/>
      <c r="F20" s="270"/>
    </row>
    <row r="21" spans="1:6" ht="13.5" thickBot="1">
      <c r="A21" s="185" t="s">
        <v>553</v>
      </c>
      <c r="B21" s="251">
        <f>+SUM(B23:B23)</f>
        <v>0</v>
      </c>
      <c r="C21" s="186">
        <f>+SUM(C23:C23)</f>
        <v>0</v>
      </c>
      <c r="D21" s="186">
        <f>+SUM(D23:D23)</f>
        <v>0</v>
      </c>
      <c r="E21" s="186">
        <f>+SUM(E23:E23)</f>
        <v>0</v>
      </c>
      <c r="F21" s="186">
        <f>+SUM(F23:F23)</f>
        <v>0</v>
      </c>
    </row>
    <row r="22" spans="1:6" ht="12.75">
      <c r="A22" s="162"/>
      <c r="B22" s="248"/>
      <c r="C22" s="171"/>
      <c r="D22" s="171"/>
      <c r="E22" s="171"/>
      <c r="F22" s="171"/>
    </row>
    <row r="23" spans="1:6" ht="12.75">
      <c r="A23" s="163" t="s">
        <v>652</v>
      </c>
      <c r="B23" s="249">
        <f>+SUM(C23:F23)</f>
        <v>0</v>
      </c>
      <c r="C23" s="269">
        <f>+'Int juris'!G25</f>
        <v>0</v>
      </c>
      <c r="D23" s="269">
        <v>0</v>
      </c>
      <c r="E23" s="269">
        <v>0</v>
      </c>
      <c r="F23" s="269">
        <v>0</v>
      </c>
    </row>
    <row r="24" spans="1:6" ht="13.5" thickBot="1">
      <c r="A24" s="175"/>
      <c r="B24" s="250"/>
      <c r="C24" s="176"/>
      <c r="D24" s="176"/>
      <c r="E24" s="176"/>
      <c r="F24" s="176"/>
    </row>
    <row r="25" spans="1:6" ht="13.5" thickBot="1">
      <c r="A25" s="161" t="s">
        <v>561</v>
      </c>
      <c r="B25" s="184">
        <f>+B9+B16+B21</f>
        <v>2968180</v>
      </c>
      <c r="C25" s="184">
        <f>+C9+C16+C21</f>
        <v>397590</v>
      </c>
      <c r="D25" s="184">
        <f>+D9+D16+D21</f>
        <v>520940</v>
      </c>
      <c r="E25" s="184">
        <f>+E9+E16+E21</f>
        <v>709320</v>
      </c>
      <c r="F25" s="184">
        <f>+F9+F16+F21</f>
        <v>1340330</v>
      </c>
    </row>
    <row r="26" spans="1:6" ht="12.75">
      <c r="A26" s="48"/>
      <c r="B26" s="48"/>
      <c r="C26" s="48"/>
      <c r="D26" s="48"/>
      <c r="E26" s="48"/>
      <c r="F26" s="48"/>
    </row>
    <row r="27" ht="12.75">
      <c r="B27" s="1"/>
    </row>
    <row r="28" spans="2:6" ht="12.75">
      <c r="B28" s="3"/>
      <c r="C28" s="3"/>
      <c r="D28" s="3"/>
      <c r="E28" s="3"/>
      <c r="F28" s="3"/>
    </row>
    <row r="29" spans="2:6" ht="12.75">
      <c r="B29" s="4"/>
      <c r="C29" s="4"/>
      <c r="D29" s="4"/>
      <c r="E29" s="4"/>
      <c r="F29" s="4"/>
    </row>
    <row r="30" spans="2:6" ht="12.75">
      <c r="B30" s="5"/>
      <c r="C30" s="5"/>
      <c r="D30" s="4"/>
      <c r="E30" s="5"/>
      <c r="F30" s="5"/>
    </row>
    <row r="31" ht="12.75">
      <c r="B31" s="6"/>
    </row>
    <row r="32" ht="12.75">
      <c r="B32" s="7"/>
    </row>
  </sheetData>
  <sheetProtection/>
  <mergeCells count="3">
    <mergeCell ref="A2:F2"/>
    <mergeCell ref="A4:F4"/>
    <mergeCell ref="A5:F5"/>
  </mergeCells>
  <printOptions horizontalCentered="1"/>
  <pageMargins left="0.3937007874015748" right="0.3937007874015748" top="0.7874015748031497" bottom="0.3937007874015748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1"/>
  <sheetViews>
    <sheetView zoomScale="75" zoomScaleNormal="75" zoomScaleSheetLayoutView="75" zoomScalePageLayoutView="0" workbookViewId="0" topLeftCell="A1">
      <selection activeCell="H3" sqref="H3"/>
    </sheetView>
  </sheetViews>
  <sheetFormatPr defaultColWidth="11.421875" defaultRowHeight="12.75"/>
  <cols>
    <col min="1" max="1" width="7.28125" style="48" customWidth="1"/>
    <col min="2" max="2" width="6.421875" style="48" bestFit="1" customWidth="1"/>
    <col min="3" max="3" width="7.7109375" style="48" bestFit="1" customWidth="1"/>
    <col min="4" max="4" width="9.140625" style="48" bestFit="1" customWidth="1"/>
    <col min="5" max="5" width="7.57421875" style="48" bestFit="1" customWidth="1"/>
    <col min="6" max="6" width="39.421875" style="48" bestFit="1" customWidth="1"/>
    <col min="7" max="7" width="14.421875" style="68" bestFit="1" customWidth="1"/>
  </cols>
  <sheetData>
    <row r="1" spans="1:7" ht="12.75">
      <c r="A1" s="54"/>
      <c r="F1" s="48" t="s">
        <v>367</v>
      </c>
      <c r="G1" s="48"/>
    </row>
    <row r="2" spans="1:7" ht="15">
      <c r="A2" s="761" t="s">
        <v>382</v>
      </c>
      <c r="B2" s="761"/>
      <c r="C2" s="761"/>
      <c r="D2" s="761"/>
      <c r="E2" s="761"/>
      <c r="F2" s="761"/>
      <c r="G2" s="761"/>
    </row>
    <row r="3" spans="1:7" ht="13.5" thickBot="1">
      <c r="A3" s="33" t="s">
        <v>639</v>
      </c>
      <c r="G3" s="14">
        <v>111</v>
      </c>
    </row>
    <row r="4" spans="1:7" ht="13.5" thickBot="1">
      <c r="A4" s="771" t="s">
        <v>621</v>
      </c>
      <c r="B4" s="772"/>
      <c r="C4" s="772"/>
      <c r="D4" s="772"/>
      <c r="E4" s="772"/>
      <c r="F4" s="293" t="s">
        <v>657</v>
      </c>
      <c r="G4" s="293" t="s">
        <v>658</v>
      </c>
    </row>
    <row r="5" spans="1:7" ht="13.5" thickBot="1">
      <c r="A5" s="242" t="s">
        <v>659</v>
      </c>
      <c r="B5" s="242" t="s">
        <v>660</v>
      </c>
      <c r="C5" s="242" t="s">
        <v>661</v>
      </c>
      <c r="D5" s="242" t="s">
        <v>625</v>
      </c>
      <c r="E5" s="292" t="s">
        <v>662</v>
      </c>
      <c r="F5" s="294" t="s">
        <v>663</v>
      </c>
      <c r="G5" s="294"/>
    </row>
    <row r="6" spans="1:7" ht="12.75">
      <c r="A6" s="187">
        <v>4</v>
      </c>
      <c r="B6" s="188"/>
      <c r="C6" s="188"/>
      <c r="D6" s="188"/>
      <c r="E6" s="209"/>
      <c r="F6" s="210" t="s">
        <v>539</v>
      </c>
      <c r="G6" s="212">
        <f>+G7+G13+G15</f>
        <v>397590</v>
      </c>
    </row>
    <row r="7" spans="1:7" ht="12.75">
      <c r="A7" s="196">
        <v>4</v>
      </c>
      <c r="B7" s="193">
        <v>1</v>
      </c>
      <c r="C7" s="193"/>
      <c r="D7" s="193"/>
      <c r="E7" s="197"/>
      <c r="F7" s="198" t="s">
        <v>664</v>
      </c>
      <c r="G7" s="199">
        <f>+G8+G11+G12</f>
        <v>208820</v>
      </c>
    </row>
    <row r="8" spans="1:7" ht="12.75">
      <c r="A8" s="196">
        <v>4</v>
      </c>
      <c r="B8" s="193">
        <v>1</v>
      </c>
      <c r="C8" s="193">
        <v>1</v>
      </c>
      <c r="D8" s="193"/>
      <c r="E8" s="197"/>
      <c r="F8" s="198" t="s">
        <v>644</v>
      </c>
      <c r="G8" s="199">
        <f>+G9+G10</f>
        <v>166420</v>
      </c>
    </row>
    <row r="9" spans="1:7" ht="12.75">
      <c r="A9" s="196">
        <v>4</v>
      </c>
      <c r="B9" s="193">
        <v>1</v>
      </c>
      <c r="C9" s="193">
        <v>1</v>
      </c>
      <c r="D9" s="193">
        <v>1</v>
      </c>
      <c r="E9" s="197"/>
      <c r="F9" s="198" t="s">
        <v>665</v>
      </c>
      <c r="G9" s="199">
        <f>+ANEXO1!C23</f>
        <v>166420</v>
      </c>
    </row>
    <row r="10" spans="1:7" ht="12.75">
      <c r="A10" s="196">
        <v>4</v>
      </c>
      <c r="B10" s="193">
        <v>1</v>
      </c>
      <c r="C10" s="193">
        <v>1</v>
      </c>
      <c r="D10" s="193">
        <v>2</v>
      </c>
      <c r="E10" s="197"/>
      <c r="F10" s="198" t="s">
        <v>682</v>
      </c>
      <c r="G10" s="199">
        <v>0</v>
      </c>
    </row>
    <row r="11" spans="1:7" ht="12.75">
      <c r="A11" s="196">
        <v>4</v>
      </c>
      <c r="B11" s="193">
        <v>1</v>
      </c>
      <c r="C11" s="193">
        <v>2</v>
      </c>
      <c r="D11" s="193"/>
      <c r="E11" s="197"/>
      <c r="F11" s="198" t="s">
        <v>645</v>
      </c>
      <c r="G11" s="201">
        <f>+ANEXO1!C70</f>
        <v>1090</v>
      </c>
    </row>
    <row r="12" spans="1:7" ht="12.75">
      <c r="A12" s="196">
        <v>4</v>
      </c>
      <c r="B12" s="193">
        <v>1</v>
      </c>
      <c r="C12" s="193">
        <v>3</v>
      </c>
      <c r="D12" s="193"/>
      <c r="E12" s="197"/>
      <c r="F12" s="198" t="s">
        <v>646</v>
      </c>
      <c r="G12" s="201">
        <f>+ANEXO1!C97</f>
        <v>41310</v>
      </c>
    </row>
    <row r="13" spans="1:7" ht="12.75">
      <c r="A13" s="196">
        <v>4</v>
      </c>
      <c r="B13" s="193">
        <v>2</v>
      </c>
      <c r="C13" s="193"/>
      <c r="D13" s="193"/>
      <c r="E13" s="197"/>
      <c r="F13" s="198" t="s">
        <v>683</v>
      </c>
      <c r="G13" s="199">
        <f>+G14</f>
        <v>0</v>
      </c>
    </row>
    <row r="14" spans="1:7" ht="12.75">
      <c r="A14" s="196">
        <v>4</v>
      </c>
      <c r="B14" s="193">
        <v>2</v>
      </c>
      <c r="C14" s="193">
        <v>1</v>
      </c>
      <c r="D14" s="193"/>
      <c r="E14" s="197"/>
      <c r="F14" s="198" t="s">
        <v>684</v>
      </c>
      <c r="G14" s="201"/>
    </row>
    <row r="15" spans="1:7" ht="12.75">
      <c r="A15" s="196">
        <v>4</v>
      </c>
      <c r="B15" s="193">
        <v>3</v>
      </c>
      <c r="C15" s="193"/>
      <c r="D15" s="193"/>
      <c r="E15" s="197"/>
      <c r="F15" s="198" t="s">
        <v>685</v>
      </c>
      <c r="G15" s="199">
        <f>+G16</f>
        <v>188770</v>
      </c>
    </row>
    <row r="16" spans="1:7" ht="12.75">
      <c r="A16" s="196">
        <v>4</v>
      </c>
      <c r="B16" s="193">
        <v>3</v>
      </c>
      <c r="C16" s="193">
        <v>1</v>
      </c>
      <c r="D16" s="193"/>
      <c r="E16" s="197"/>
      <c r="F16" s="198" t="s">
        <v>648</v>
      </c>
      <c r="G16" s="201">
        <v>188770</v>
      </c>
    </row>
    <row r="17" spans="1:7" ht="12.75">
      <c r="A17" s="191">
        <v>5</v>
      </c>
      <c r="B17" s="193"/>
      <c r="C17" s="193"/>
      <c r="D17" s="193"/>
      <c r="E17" s="197"/>
      <c r="F17" s="198" t="s">
        <v>548</v>
      </c>
      <c r="G17" s="199">
        <f>+G18+G21+G22</f>
        <v>0</v>
      </c>
    </row>
    <row r="18" spans="1:7" ht="12.75">
      <c r="A18" s="196">
        <v>5</v>
      </c>
      <c r="B18" s="193">
        <v>1</v>
      </c>
      <c r="C18" s="193"/>
      <c r="D18" s="193"/>
      <c r="E18" s="197"/>
      <c r="F18" s="198" t="s">
        <v>686</v>
      </c>
      <c r="G18" s="199">
        <f>+G19+G20</f>
        <v>0</v>
      </c>
    </row>
    <row r="19" spans="1:7" ht="12.75">
      <c r="A19" s="196">
        <v>5</v>
      </c>
      <c r="B19" s="193">
        <v>1</v>
      </c>
      <c r="C19" s="193">
        <v>1</v>
      </c>
      <c r="D19" s="193"/>
      <c r="E19" s="197"/>
      <c r="F19" s="198" t="s">
        <v>649</v>
      </c>
      <c r="G19" s="201">
        <f>+ANEXO1!C117</f>
        <v>0</v>
      </c>
    </row>
    <row r="20" spans="1:7" ht="12.75">
      <c r="A20" s="196">
        <v>5</v>
      </c>
      <c r="B20" s="193">
        <v>1</v>
      </c>
      <c r="C20" s="193">
        <v>2</v>
      </c>
      <c r="D20" s="193"/>
      <c r="E20" s="193"/>
      <c r="F20" s="198" t="s">
        <v>650</v>
      </c>
      <c r="G20" s="201"/>
    </row>
    <row r="21" spans="1:7" ht="12.75">
      <c r="A21" s="196">
        <v>5</v>
      </c>
      <c r="B21" s="193">
        <v>2</v>
      </c>
      <c r="C21" s="193"/>
      <c r="D21" s="193"/>
      <c r="E21" s="193"/>
      <c r="F21" s="198" t="s">
        <v>687</v>
      </c>
      <c r="G21" s="199">
        <v>0</v>
      </c>
    </row>
    <row r="22" spans="1:7" ht="12.75">
      <c r="A22" s="196">
        <v>5</v>
      </c>
      <c r="B22" s="193">
        <v>3</v>
      </c>
      <c r="C22" s="193"/>
      <c r="D22" s="193"/>
      <c r="E22" s="193"/>
      <c r="F22" s="198" t="s">
        <v>688</v>
      </c>
      <c r="G22" s="199">
        <f>+G23</f>
        <v>0</v>
      </c>
    </row>
    <row r="23" spans="1:7" ht="12.75">
      <c r="A23" s="196">
        <v>5</v>
      </c>
      <c r="B23" s="193">
        <v>3</v>
      </c>
      <c r="C23" s="193">
        <v>1</v>
      </c>
      <c r="D23" s="193"/>
      <c r="E23" s="193"/>
      <c r="F23" s="198" t="s">
        <v>651</v>
      </c>
      <c r="G23" s="201">
        <v>0</v>
      </c>
    </row>
    <row r="24" spans="1:7" ht="12.75">
      <c r="A24" s="191">
        <v>6</v>
      </c>
      <c r="B24" s="193"/>
      <c r="C24" s="193"/>
      <c r="D24" s="193"/>
      <c r="E24" s="193"/>
      <c r="F24" s="198" t="s">
        <v>553</v>
      </c>
      <c r="G24" s="199">
        <f>+G25</f>
        <v>0</v>
      </c>
    </row>
    <row r="25" spans="1:7" ht="12.75">
      <c r="A25" s="196">
        <v>6</v>
      </c>
      <c r="B25" s="193">
        <v>1</v>
      </c>
      <c r="C25" s="193"/>
      <c r="D25" s="193"/>
      <c r="E25" s="193"/>
      <c r="F25" s="198" t="s">
        <v>689</v>
      </c>
      <c r="G25" s="199">
        <f>+G26</f>
        <v>0</v>
      </c>
    </row>
    <row r="26" spans="1:7" ht="13.5" thickBot="1">
      <c r="A26" s="204">
        <v>6</v>
      </c>
      <c r="B26" s="205">
        <v>1</v>
      </c>
      <c r="C26" s="205">
        <v>1</v>
      </c>
      <c r="D26" s="205"/>
      <c r="E26" s="205"/>
      <c r="F26" s="271" t="s">
        <v>652</v>
      </c>
      <c r="G26" s="208"/>
    </row>
    <row r="27" spans="6:7" ht="13.5" thickBot="1">
      <c r="F27" s="295" t="s">
        <v>690</v>
      </c>
      <c r="G27" s="184">
        <f>+G6+G17+G24</f>
        <v>397590</v>
      </c>
    </row>
    <row r="28" ht="12.75">
      <c r="G28" s="9"/>
    </row>
    <row r="29" spans="1:7" ht="12.75">
      <c r="A29" s="67"/>
      <c r="F29" s="57" t="s">
        <v>365</v>
      </c>
      <c r="G29" s="48"/>
    </row>
    <row r="30" spans="1:7" ht="15">
      <c r="A30" s="761" t="str">
        <f>+A2</f>
        <v>PRESUPUESTO AÑO 2008</v>
      </c>
      <c r="B30" s="761"/>
      <c r="C30" s="761"/>
      <c r="D30" s="761"/>
      <c r="E30" s="761"/>
      <c r="F30" s="761"/>
      <c r="G30" s="761"/>
    </row>
    <row r="31" spans="1:7" ht="13.5" thickBot="1">
      <c r="A31" s="33" t="s">
        <v>691</v>
      </c>
      <c r="G31" s="14">
        <v>121</v>
      </c>
    </row>
    <row r="32" spans="1:7" ht="13.5" thickBot="1">
      <c r="A32" s="771" t="s">
        <v>621</v>
      </c>
      <c r="B32" s="772"/>
      <c r="C32" s="772"/>
      <c r="D32" s="772"/>
      <c r="E32" s="772"/>
      <c r="F32" s="293" t="s">
        <v>657</v>
      </c>
      <c r="G32" s="293" t="s">
        <v>658</v>
      </c>
    </row>
    <row r="33" spans="1:7" ht="13.5" thickBot="1">
      <c r="A33" s="242" t="s">
        <v>659</v>
      </c>
      <c r="B33" s="242" t="s">
        <v>660</v>
      </c>
      <c r="C33" s="242" t="s">
        <v>661</v>
      </c>
      <c r="D33" s="242" t="s">
        <v>625</v>
      </c>
      <c r="E33" s="292" t="s">
        <v>662</v>
      </c>
      <c r="F33" s="294" t="s">
        <v>663</v>
      </c>
      <c r="G33" s="294"/>
    </row>
    <row r="34" spans="1:7" ht="12.75">
      <c r="A34" s="187">
        <v>4</v>
      </c>
      <c r="B34" s="188"/>
      <c r="C34" s="188"/>
      <c r="D34" s="188"/>
      <c r="E34" s="209"/>
      <c r="F34" s="210" t="s">
        <v>539</v>
      </c>
      <c r="G34" s="212">
        <f>+G35+G41+G43</f>
        <v>520940</v>
      </c>
    </row>
    <row r="35" spans="1:7" ht="12.75">
      <c r="A35" s="196">
        <v>4</v>
      </c>
      <c r="B35" s="193">
        <v>1</v>
      </c>
      <c r="C35" s="193"/>
      <c r="D35" s="193"/>
      <c r="E35" s="197"/>
      <c r="F35" s="198" t="s">
        <v>664</v>
      </c>
      <c r="G35" s="199">
        <f>+G36+G39+G40</f>
        <v>520940</v>
      </c>
    </row>
    <row r="36" spans="1:7" ht="12.75">
      <c r="A36" s="196">
        <v>4</v>
      </c>
      <c r="B36" s="193">
        <v>1</v>
      </c>
      <c r="C36" s="193">
        <v>1</v>
      </c>
      <c r="D36" s="193"/>
      <c r="E36" s="197"/>
      <c r="F36" s="198" t="s">
        <v>644</v>
      </c>
      <c r="G36" s="199">
        <f>+G37+G38</f>
        <v>418570</v>
      </c>
    </row>
    <row r="37" spans="1:7" ht="12.75">
      <c r="A37" s="196">
        <v>4</v>
      </c>
      <c r="B37" s="193">
        <v>1</v>
      </c>
      <c r="C37" s="193">
        <v>1</v>
      </c>
      <c r="D37" s="193">
        <v>1</v>
      </c>
      <c r="E37" s="197"/>
      <c r="F37" s="198" t="s">
        <v>665</v>
      </c>
      <c r="G37" s="199">
        <f>+ANEXO1!D23</f>
        <v>280000</v>
      </c>
    </row>
    <row r="38" spans="1:7" ht="12.75">
      <c r="A38" s="196">
        <v>4</v>
      </c>
      <c r="B38" s="193">
        <v>1</v>
      </c>
      <c r="C38" s="193">
        <v>1</v>
      </c>
      <c r="D38" s="193">
        <v>2</v>
      </c>
      <c r="E38" s="197"/>
      <c r="F38" s="198" t="s">
        <v>682</v>
      </c>
      <c r="G38" s="199">
        <f>+ANEXO1!C42</f>
        <v>138570</v>
      </c>
    </row>
    <row r="39" spans="1:7" ht="12.75">
      <c r="A39" s="196">
        <v>4</v>
      </c>
      <c r="B39" s="193">
        <v>1</v>
      </c>
      <c r="C39" s="193">
        <v>2</v>
      </c>
      <c r="D39" s="193"/>
      <c r="E39" s="197"/>
      <c r="F39" s="198" t="s">
        <v>645</v>
      </c>
      <c r="G39" s="201">
        <f>+ANEXO1!D70+ANEXO1!E70</f>
        <v>6940</v>
      </c>
    </row>
    <row r="40" spans="1:7" ht="12.75">
      <c r="A40" s="196">
        <v>4</v>
      </c>
      <c r="B40" s="193">
        <v>1</v>
      </c>
      <c r="C40" s="193">
        <v>3</v>
      </c>
      <c r="D40" s="193"/>
      <c r="E40" s="197"/>
      <c r="F40" s="198" t="s">
        <v>646</v>
      </c>
      <c r="G40" s="201">
        <f>+ANEXO1!D97+ANEXO1!E97</f>
        <v>95430</v>
      </c>
    </row>
    <row r="41" spans="1:7" ht="12.75">
      <c r="A41" s="196">
        <v>4</v>
      </c>
      <c r="B41" s="193">
        <v>2</v>
      </c>
      <c r="C41" s="193"/>
      <c r="D41" s="193"/>
      <c r="E41" s="197"/>
      <c r="F41" s="198" t="s">
        <v>683</v>
      </c>
      <c r="G41" s="199">
        <f>+G42</f>
        <v>0</v>
      </c>
    </row>
    <row r="42" spans="1:7" ht="12.75">
      <c r="A42" s="196">
        <v>4</v>
      </c>
      <c r="B42" s="193">
        <v>2</v>
      </c>
      <c r="C42" s="193">
        <v>1</v>
      </c>
      <c r="D42" s="193"/>
      <c r="E42" s="197"/>
      <c r="F42" s="198" t="s">
        <v>684</v>
      </c>
      <c r="G42" s="201"/>
    </row>
    <row r="43" spans="1:7" ht="12.75">
      <c r="A43" s="196">
        <v>4</v>
      </c>
      <c r="B43" s="193">
        <v>3</v>
      </c>
      <c r="C43" s="193"/>
      <c r="D43" s="193"/>
      <c r="E43" s="197"/>
      <c r="F43" s="198" t="s">
        <v>685</v>
      </c>
      <c r="G43" s="199">
        <f>+G44</f>
        <v>0</v>
      </c>
    </row>
    <row r="44" spans="1:7" ht="12.75">
      <c r="A44" s="196">
        <v>4</v>
      </c>
      <c r="B44" s="193">
        <v>3</v>
      </c>
      <c r="C44" s="193">
        <v>1</v>
      </c>
      <c r="D44" s="193"/>
      <c r="E44" s="197"/>
      <c r="F44" s="198" t="s">
        <v>648</v>
      </c>
      <c r="G44" s="201"/>
    </row>
    <row r="45" spans="1:7" ht="12.75">
      <c r="A45" s="191">
        <v>5</v>
      </c>
      <c r="B45" s="193"/>
      <c r="C45" s="193"/>
      <c r="D45" s="193"/>
      <c r="E45" s="197"/>
      <c r="F45" s="198" t="s">
        <v>548</v>
      </c>
      <c r="G45" s="199">
        <f>+G46+G49+G50</f>
        <v>0</v>
      </c>
    </row>
    <row r="46" spans="1:7" ht="12.75">
      <c r="A46" s="196">
        <v>5</v>
      </c>
      <c r="B46" s="193">
        <v>1</v>
      </c>
      <c r="C46" s="193"/>
      <c r="D46" s="193"/>
      <c r="E46" s="197"/>
      <c r="F46" s="198" t="s">
        <v>686</v>
      </c>
      <c r="G46" s="199">
        <f>+G47+G48</f>
        <v>0</v>
      </c>
    </row>
    <row r="47" spans="1:7" ht="12.75">
      <c r="A47" s="196">
        <v>5</v>
      </c>
      <c r="B47" s="193">
        <v>1</v>
      </c>
      <c r="C47" s="193">
        <v>1</v>
      </c>
      <c r="D47" s="193"/>
      <c r="E47" s="197"/>
      <c r="F47" s="198" t="s">
        <v>649</v>
      </c>
      <c r="G47" s="201">
        <f>+ANEXO1!D117+ANEXO1!E117</f>
        <v>0</v>
      </c>
    </row>
    <row r="48" spans="1:7" ht="12.75">
      <c r="A48" s="196">
        <v>5</v>
      </c>
      <c r="B48" s="193">
        <v>1</v>
      </c>
      <c r="C48" s="193">
        <v>2</v>
      </c>
      <c r="D48" s="193"/>
      <c r="E48" s="193"/>
      <c r="F48" s="198" t="s">
        <v>650</v>
      </c>
      <c r="G48" s="201"/>
    </row>
    <row r="49" spans="1:7" ht="12.75">
      <c r="A49" s="196">
        <v>5</v>
      </c>
      <c r="B49" s="193">
        <v>2</v>
      </c>
      <c r="C49" s="193"/>
      <c r="D49" s="193"/>
      <c r="E49" s="193"/>
      <c r="F49" s="198" t="s">
        <v>687</v>
      </c>
      <c r="G49" s="199">
        <v>0</v>
      </c>
    </row>
    <row r="50" spans="1:7" ht="12.75">
      <c r="A50" s="196">
        <v>5</v>
      </c>
      <c r="B50" s="193">
        <v>3</v>
      </c>
      <c r="C50" s="193"/>
      <c r="D50" s="193"/>
      <c r="E50" s="193"/>
      <c r="F50" s="198" t="s">
        <v>688</v>
      </c>
      <c r="G50" s="199">
        <f>+G51</f>
        <v>0</v>
      </c>
    </row>
    <row r="51" spans="1:7" ht="12.75">
      <c r="A51" s="196">
        <v>5</v>
      </c>
      <c r="B51" s="193">
        <v>3</v>
      </c>
      <c r="C51" s="193">
        <v>1</v>
      </c>
      <c r="D51" s="193"/>
      <c r="E51" s="193"/>
      <c r="F51" s="198" t="s">
        <v>651</v>
      </c>
      <c r="G51" s="201"/>
    </row>
    <row r="52" spans="1:7" ht="12.75">
      <c r="A52" s="191">
        <v>6</v>
      </c>
      <c r="B52" s="193"/>
      <c r="C52" s="193"/>
      <c r="D52" s="193"/>
      <c r="E52" s="193"/>
      <c r="F52" s="198" t="s">
        <v>553</v>
      </c>
      <c r="G52" s="199">
        <f>+G53</f>
        <v>0</v>
      </c>
    </row>
    <row r="53" spans="1:7" ht="12.75">
      <c r="A53" s="196">
        <v>6</v>
      </c>
      <c r="B53" s="193">
        <v>1</v>
      </c>
      <c r="C53" s="193"/>
      <c r="D53" s="193"/>
      <c r="E53" s="193"/>
      <c r="F53" s="198" t="s">
        <v>689</v>
      </c>
      <c r="G53" s="199">
        <f>+G54</f>
        <v>0</v>
      </c>
    </row>
    <row r="54" spans="1:7" ht="13.5" thickBot="1">
      <c r="A54" s="204">
        <v>6</v>
      </c>
      <c r="B54" s="205">
        <v>1</v>
      </c>
      <c r="C54" s="205">
        <v>1</v>
      </c>
      <c r="D54" s="205"/>
      <c r="E54" s="205"/>
      <c r="F54" s="271" t="s">
        <v>652</v>
      </c>
      <c r="G54" s="208"/>
    </row>
    <row r="55" spans="6:7" ht="13.5" thickBot="1">
      <c r="F55" s="295" t="s">
        <v>690</v>
      </c>
      <c r="G55" s="184">
        <f>+G34+G45+G52</f>
        <v>520940</v>
      </c>
    </row>
    <row r="57" spans="1:6" ht="12.75">
      <c r="A57" s="82"/>
      <c r="F57" s="57" t="s">
        <v>366</v>
      </c>
    </row>
    <row r="58" spans="1:7" ht="15">
      <c r="A58" s="773" t="str">
        <f>+A30</f>
        <v>PRESUPUESTO AÑO 2008</v>
      </c>
      <c r="B58" s="774"/>
      <c r="C58" s="774"/>
      <c r="D58" s="774"/>
      <c r="E58" s="774"/>
      <c r="F58" s="774"/>
      <c r="G58" s="774"/>
    </row>
    <row r="59" spans="1:7" ht="13.5" thickBot="1">
      <c r="A59" s="33" t="s">
        <v>692</v>
      </c>
      <c r="G59" s="14">
        <v>131</v>
      </c>
    </row>
    <row r="60" spans="1:7" ht="13.5" thickBot="1">
      <c r="A60" s="771" t="s">
        <v>621</v>
      </c>
      <c r="B60" s="772"/>
      <c r="C60" s="772"/>
      <c r="D60" s="772"/>
      <c r="E60" s="772"/>
      <c r="F60" s="293" t="s">
        <v>657</v>
      </c>
      <c r="G60" s="293" t="s">
        <v>658</v>
      </c>
    </row>
    <row r="61" spans="1:7" ht="13.5" thickBot="1">
      <c r="A61" s="242" t="s">
        <v>659</v>
      </c>
      <c r="B61" s="242" t="s">
        <v>660</v>
      </c>
      <c r="C61" s="242" t="s">
        <v>661</v>
      </c>
      <c r="D61" s="242" t="s">
        <v>625</v>
      </c>
      <c r="E61" s="292" t="s">
        <v>662</v>
      </c>
      <c r="F61" s="294" t="s">
        <v>663</v>
      </c>
      <c r="G61" s="294"/>
    </row>
    <row r="62" spans="1:7" ht="12.75">
      <c r="A62" s="187">
        <v>4</v>
      </c>
      <c r="B62" s="188"/>
      <c r="C62" s="188"/>
      <c r="D62" s="188"/>
      <c r="E62" s="209"/>
      <c r="F62" s="210" t="s">
        <v>539</v>
      </c>
      <c r="G62" s="212">
        <f>+G63+G69+G71</f>
        <v>704220</v>
      </c>
    </row>
    <row r="63" spans="1:7" ht="12.75">
      <c r="A63" s="196">
        <v>4</v>
      </c>
      <c r="B63" s="193">
        <v>1</v>
      </c>
      <c r="C63" s="193"/>
      <c r="D63" s="193"/>
      <c r="E63" s="197"/>
      <c r="F63" s="198" t="s">
        <v>664</v>
      </c>
      <c r="G63" s="199">
        <f>+G64+G67+G68</f>
        <v>704220</v>
      </c>
    </row>
    <row r="64" spans="1:7" ht="12.75">
      <c r="A64" s="196">
        <v>4</v>
      </c>
      <c r="B64" s="193">
        <v>1</v>
      </c>
      <c r="C64" s="193">
        <v>1</v>
      </c>
      <c r="D64" s="193"/>
      <c r="E64" s="197"/>
      <c r="F64" s="198" t="s">
        <v>644</v>
      </c>
      <c r="G64" s="199">
        <f>+G65+G66</f>
        <v>518310</v>
      </c>
    </row>
    <row r="65" spans="1:7" ht="12.75">
      <c r="A65" s="196">
        <v>4</v>
      </c>
      <c r="B65" s="193">
        <v>1</v>
      </c>
      <c r="C65" s="193">
        <v>1</v>
      </c>
      <c r="D65" s="193">
        <v>1</v>
      </c>
      <c r="E65" s="197"/>
      <c r="F65" s="198" t="s">
        <v>665</v>
      </c>
      <c r="G65" s="199">
        <f>+ANEXO1!E23</f>
        <v>518310</v>
      </c>
    </row>
    <row r="66" spans="1:7" ht="12.75">
      <c r="A66" s="196">
        <v>4</v>
      </c>
      <c r="B66" s="193">
        <v>1</v>
      </c>
      <c r="C66" s="193">
        <v>1</v>
      </c>
      <c r="D66" s="193">
        <v>2</v>
      </c>
      <c r="E66" s="197"/>
      <c r="F66" s="198" t="s">
        <v>682</v>
      </c>
      <c r="G66" s="199">
        <v>0</v>
      </c>
    </row>
    <row r="67" spans="1:7" ht="12.75">
      <c r="A67" s="196">
        <v>4</v>
      </c>
      <c r="B67" s="193">
        <v>1</v>
      </c>
      <c r="C67" s="193">
        <v>2</v>
      </c>
      <c r="D67" s="193"/>
      <c r="E67" s="197"/>
      <c r="F67" s="198" t="s">
        <v>645</v>
      </c>
      <c r="G67" s="201">
        <f>+ANEXO1!F70</f>
        <v>6370</v>
      </c>
    </row>
    <row r="68" spans="1:7" ht="12.75">
      <c r="A68" s="196">
        <v>4</v>
      </c>
      <c r="B68" s="193">
        <v>1</v>
      </c>
      <c r="C68" s="193">
        <v>3</v>
      </c>
      <c r="D68" s="193"/>
      <c r="E68" s="197"/>
      <c r="F68" s="198" t="s">
        <v>646</v>
      </c>
      <c r="G68" s="201">
        <f>+ANEXO1!F97</f>
        <v>179540</v>
      </c>
    </row>
    <row r="69" spans="1:7" ht="12.75">
      <c r="A69" s="196">
        <v>4</v>
      </c>
      <c r="B69" s="193">
        <v>2</v>
      </c>
      <c r="C69" s="193"/>
      <c r="D69" s="193"/>
      <c r="E69" s="197"/>
      <c r="F69" s="198" t="s">
        <v>683</v>
      </c>
      <c r="G69" s="199">
        <f>+G70</f>
        <v>0</v>
      </c>
    </row>
    <row r="70" spans="1:7" ht="12.75">
      <c r="A70" s="196">
        <v>4</v>
      </c>
      <c r="B70" s="193">
        <v>2</v>
      </c>
      <c r="C70" s="193">
        <v>1</v>
      </c>
      <c r="D70" s="193"/>
      <c r="E70" s="197"/>
      <c r="F70" s="198" t="s">
        <v>684</v>
      </c>
      <c r="G70" s="201"/>
    </row>
    <row r="71" spans="1:7" ht="12.75">
      <c r="A71" s="196">
        <v>4</v>
      </c>
      <c r="B71" s="193">
        <v>3</v>
      </c>
      <c r="C71" s="193"/>
      <c r="D71" s="193"/>
      <c r="E71" s="197"/>
      <c r="F71" s="198" t="s">
        <v>685</v>
      </c>
      <c r="G71" s="199">
        <f>+G72</f>
        <v>0</v>
      </c>
    </row>
    <row r="72" spans="1:7" ht="12.75">
      <c r="A72" s="196">
        <v>4</v>
      </c>
      <c r="B72" s="193">
        <v>3</v>
      </c>
      <c r="C72" s="193">
        <v>1</v>
      </c>
      <c r="D72" s="193"/>
      <c r="E72" s="197"/>
      <c r="F72" s="198" t="s">
        <v>648</v>
      </c>
      <c r="G72" s="201"/>
    </row>
    <row r="73" spans="1:7" ht="12.75">
      <c r="A73" s="191">
        <v>5</v>
      </c>
      <c r="B73" s="193"/>
      <c r="C73" s="193"/>
      <c r="D73" s="193"/>
      <c r="E73" s="197"/>
      <c r="F73" s="198" t="s">
        <v>548</v>
      </c>
      <c r="G73" s="199">
        <f>+G74+G77+G78</f>
        <v>5100</v>
      </c>
    </row>
    <row r="74" spans="1:7" ht="12.75">
      <c r="A74" s="196">
        <v>5</v>
      </c>
      <c r="B74" s="193">
        <v>1</v>
      </c>
      <c r="C74" s="193"/>
      <c r="D74" s="193"/>
      <c r="E74" s="197"/>
      <c r="F74" s="198" t="s">
        <v>686</v>
      </c>
      <c r="G74" s="199">
        <f>+G75+G76</f>
        <v>5100</v>
      </c>
    </row>
    <row r="75" spans="1:7" ht="12.75">
      <c r="A75" s="196">
        <v>5</v>
      </c>
      <c r="B75" s="193">
        <v>1</v>
      </c>
      <c r="C75" s="193">
        <v>1</v>
      </c>
      <c r="D75" s="193"/>
      <c r="E75" s="197"/>
      <c r="F75" s="198" t="s">
        <v>649</v>
      </c>
      <c r="G75" s="201">
        <f>+ANEXO1!F117</f>
        <v>5100</v>
      </c>
    </row>
    <row r="76" spans="1:7" ht="12.75">
      <c r="A76" s="196">
        <v>5</v>
      </c>
      <c r="B76" s="193">
        <v>1</v>
      </c>
      <c r="C76" s="193">
        <v>2</v>
      </c>
      <c r="D76" s="193"/>
      <c r="E76" s="193"/>
      <c r="F76" s="198" t="s">
        <v>650</v>
      </c>
      <c r="G76" s="201"/>
    </row>
    <row r="77" spans="1:7" ht="12.75">
      <c r="A77" s="196">
        <v>5</v>
      </c>
      <c r="B77" s="193">
        <v>2</v>
      </c>
      <c r="C77" s="193"/>
      <c r="D77" s="193"/>
      <c r="E77" s="193"/>
      <c r="F77" s="198" t="s">
        <v>687</v>
      </c>
      <c r="G77" s="199">
        <v>0</v>
      </c>
    </row>
    <row r="78" spans="1:7" ht="12.75">
      <c r="A78" s="196">
        <v>5</v>
      </c>
      <c r="B78" s="193">
        <v>3</v>
      </c>
      <c r="C78" s="193"/>
      <c r="D78" s="193"/>
      <c r="E78" s="193"/>
      <c r="F78" s="198" t="s">
        <v>688</v>
      </c>
      <c r="G78" s="199">
        <f>+G79</f>
        <v>0</v>
      </c>
    </row>
    <row r="79" spans="1:7" ht="12.75">
      <c r="A79" s="196">
        <v>5</v>
      </c>
      <c r="B79" s="193">
        <v>3</v>
      </c>
      <c r="C79" s="193">
        <v>1</v>
      </c>
      <c r="D79" s="193"/>
      <c r="E79" s="193"/>
      <c r="F79" s="198" t="s">
        <v>651</v>
      </c>
      <c r="G79" s="201"/>
    </row>
    <row r="80" spans="1:7" ht="12.75">
      <c r="A80" s="191">
        <v>6</v>
      </c>
      <c r="B80" s="193"/>
      <c r="C80" s="193"/>
      <c r="D80" s="193"/>
      <c r="E80" s="193"/>
      <c r="F80" s="198" t="s">
        <v>553</v>
      </c>
      <c r="G80" s="199">
        <f>+G81</f>
        <v>0</v>
      </c>
    </row>
    <row r="81" spans="1:7" ht="12.75">
      <c r="A81" s="196">
        <v>6</v>
      </c>
      <c r="B81" s="193">
        <v>1</v>
      </c>
      <c r="C81" s="193"/>
      <c r="D81" s="193"/>
      <c r="E81" s="193"/>
      <c r="F81" s="198" t="s">
        <v>689</v>
      </c>
      <c r="G81" s="199">
        <f>+G82</f>
        <v>0</v>
      </c>
    </row>
    <row r="82" spans="1:7" ht="13.5" thickBot="1">
      <c r="A82" s="204">
        <v>6</v>
      </c>
      <c r="B82" s="205">
        <v>1</v>
      </c>
      <c r="C82" s="205">
        <v>1</v>
      </c>
      <c r="D82" s="205"/>
      <c r="E82" s="205"/>
      <c r="F82" s="271" t="s">
        <v>652</v>
      </c>
      <c r="G82" s="208"/>
    </row>
    <row r="83" spans="6:7" ht="13.5" thickBot="1">
      <c r="F83" s="295" t="s">
        <v>690</v>
      </c>
      <c r="G83" s="184">
        <f>+G62+G73+G80</f>
        <v>709320</v>
      </c>
    </row>
    <row r="84" ht="12.75">
      <c r="G84" s="48"/>
    </row>
    <row r="85" spans="1:6" ht="12.75">
      <c r="A85" s="67"/>
      <c r="F85" s="57" t="s">
        <v>366</v>
      </c>
    </row>
    <row r="86" spans="1:7" ht="15">
      <c r="A86" s="761" t="str">
        <f>+A58</f>
        <v>PRESUPUESTO AÑO 2008</v>
      </c>
      <c r="B86" s="761"/>
      <c r="C86" s="761"/>
      <c r="D86" s="761"/>
      <c r="E86" s="761"/>
      <c r="F86" s="761"/>
      <c r="G86" s="761"/>
    </row>
    <row r="87" spans="1:7" ht="13.5" thickBot="1">
      <c r="A87" s="33" t="s">
        <v>693</v>
      </c>
      <c r="G87" s="14">
        <v>141</v>
      </c>
    </row>
    <row r="88" spans="1:7" ht="13.5" thickBot="1">
      <c r="A88" s="771" t="s">
        <v>621</v>
      </c>
      <c r="B88" s="772"/>
      <c r="C88" s="772"/>
      <c r="D88" s="772"/>
      <c r="E88" s="772"/>
      <c r="F88" s="293" t="s">
        <v>657</v>
      </c>
      <c r="G88" s="293" t="s">
        <v>658</v>
      </c>
    </row>
    <row r="89" spans="1:7" ht="13.5" thickBot="1">
      <c r="A89" s="242" t="s">
        <v>659</v>
      </c>
      <c r="B89" s="242" t="s">
        <v>660</v>
      </c>
      <c r="C89" s="242" t="s">
        <v>661</v>
      </c>
      <c r="D89" s="242" t="s">
        <v>625</v>
      </c>
      <c r="E89" s="292" t="s">
        <v>662</v>
      </c>
      <c r="F89" s="294" t="s">
        <v>663</v>
      </c>
      <c r="G89" s="294"/>
    </row>
    <row r="90" spans="1:7" ht="12.75">
      <c r="A90" s="187">
        <v>4</v>
      </c>
      <c r="B90" s="188"/>
      <c r="C90" s="188"/>
      <c r="D90" s="188"/>
      <c r="E90" s="209"/>
      <c r="F90" s="210" t="s">
        <v>539</v>
      </c>
      <c r="G90" s="212">
        <f>+G91+G97+G99</f>
        <v>1338830</v>
      </c>
    </row>
    <row r="91" spans="1:7" ht="12.75">
      <c r="A91" s="196">
        <v>4</v>
      </c>
      <c r="B91" s="193">
        <v>1</v>
      </c>
      <c r="C91" s="193"/>
      <c r="D91" s="193"/>
      <c r="E91" s="197"/>
      <c r="F91" s="198" t="s">
        <v>664</v>
      </c>
      <c r="G91" s="199">
        <f>+G92+G95+G96</f>
        <v>1338830</v>
      </c>
    </row>
    <row r="92" spans="1:7" ht="12.75">
      <c r="A92" s="196">
        <v>4</v>
      </c>
      <c r="B92" s="193">
        <v>1</v>
      </c>
      <c r="C92" s="193">
        <v>1</v>
      </c>
      <c r="D92" s="193"/>
      <c r="E92" s="197"/>
      <c r="F92" s="198" t="s">
        <v>644</v>
      </c>
      <c r="G92" s="199">
        <f>+G93+G94</f>
        <v>298610</v>
      </c>
    </row>
    <row r="93" spans="1:7" ht="12.75">
      <c r="A93" s="196">
        <v>4</v>
      </c>
      <c r="B93" s="193">
        <v>1</v>
      </c>
      <c r="C93" s="193">
        <v>1</v>
      </c>
      <c r="D93" s="193">
        <v>1</v>
      </c>
      <c r="E93" s="197"/>
      <c r="F93" s="198" t="s">
        <v>665</v>
      </c>
      <c r="G93" s="199">
        <f>+ANEXO1!F23</f>
        <v>298610</v>
      </c>
    </row>
    <row r="94" spans="1:7" ht="12.75">
      <c r="A94" s="196">
        <v>4</v>
      </c>
      <c r="B94" s="193">
        <v>1</v>
      </c>
      <c r="C94" s="193">
        <v>1</v>
      </c>
      <c r="D94" s="193">
        <v>2</v>
      </c>
      <c r="E94" s="197"/>
      <c r="F94" s="198" t="s">
        <v>682</v>
      </c>
      <c r="G94" s="199">
        <v>0</v>
      </c>
    </row>
    <row r="95" spans="1:7" ht="12.75">
      <c r="A95" s="196">
        <v>4</v>
      </c>
      <c r="B95" s="193">
        <v>1</v>
      </c>
      <c r="C95" s="193">
        <v>2</v>
      </c>
      <c r="D95" s="193"/>
      <c r="E95" s="197"/>
      <c r="F95" s="198" t="s">
        <v>645</v>
      </c>
      <c r="G95" s="201">
        <f>+ANEXO1!G70</f>
        <v>21130</v>
      </c>
    </row>
    <row r="96" spans="1:7" ht="12.75">
      <c r="A96" s="196">
        <v>4</v>
      </c>
      <c r="B96" s="193">
        <v>1</v>
      </c>
      <c r="C96" s="193">
        <v>3</v>
      </c>
      <c r="D96" s="193"/>
      <c r="E96" s="197"/>
      <c r="F96" s="198" t="s">
        <v>646</v>
      </c>
      <c r="G96" s="201">
        <f>+ANEXO1!G97</f>
        <v>1019090</v>
      </c>
    </row>
    <row r="97" spans="1:7" ht="12.75">
      <c r="A97" s="196">
        <v>4</v>
      </c>
      <c r="B97" s="193">
        <v>2</v>
      </c>
      <c r="C97" s="193"/>
      <c r="D97" s="193"/>
      <c r="E97" s="197"/>
      <c r="F97" s="198" t="s">
        <v>683</v>
      </c>
      <c r="G97" s="199">
        <f>+G98</f>
        <v>0</v>
      </c>
    </row>
    <row r="98" spans="1:7" ht="12.75">
      <c r="A98" s="196">
        <v>4</v>
      </c>
      <c r="B98" s="193">
        <v>2</v>
      </c>
      <c r="C98" s="193">
        <v>1</v>
      </c>
      <c r="D98" s="193"/>
      <c r="E98" s="197"/>
      <c r="F98" s="198" t="s">
        <v>684</v>
      </c>
      <c r="G98" s="201"/>
    </row>
    <row r="99" spans="1:7" ht="12.75">
      <c r="A99" s="196">
        <v>4</v>
      </c>
      <c r="B99" s="193">
        <v>3</v>
      </c>
      <c r="C99" s="193"/>
      <c r="D99" s="193"/>
      <c r="E99" s="197"/>
      <c r="F99" s="198" t="s">
        <v>685</v>
      </c>
      <c r="G99" s="199">
        <f>+G100</f>
        <v>0</v>
      </c>
    </row>
    <row r="100" spans="1:7" ht="12.75">
      <c r="A100" s="196">
        <v>4</v>
      </c>
      <c r="B100" s="193">
        <v>3</v>
      </c>
      <c r="C100" s="193">
        <v>1</v>
      </c>
      <c r="D100" s="193"/>
      <c r="E100" s="197"/>
      <c r="F100" s="198" t="s">
        <v>648</v>
      </c>
      <c r="G100" s="201"/>
    </row>
    <row r="101" spans="1:7" ht="12.75">
      <c r="A101" s="191">
        <v>5</v>
      </c>
      <c r="B101" s="193"/>
      <c r="C101" s="193"/>
      <c r="D101" s="193"/>
      <c r="E101" s="197"/>
      <c r="F101" s="198" t="s">
        <v>548</v>
      </c>
      <c r="G101" s="199">
        <f>+G102+G105+G106</f>
        <v>1500</v>
      </c>
    </row>
    <row r="102" spans="1:7" ht="12.75">
      <c r="A102" s="196">
        <v>5</v>
      </c>
      <c r="B102" s="193">
        <v>1</v>
      </c>
      <c r="C102" s="193"/>
      <c r="D102" s="193"/>
      <c r="E102" s="197"/>
      <c r="F102" s="198" t="s">
        <v>686</v>
      </c>
      <c r="G102" s="199">
        <f>+G103+G104</f>
        <v>1500</v>
      </c>
    </row>
    <row r="103" spans="1:7" ht="12.75">
      <c r="A103" s="196">
        <v>5</v>
      </c>
      <c r="B103" s="193">
        <v>1</v>
      </c>
      <c r="C103" s="193">
        <v>1</v>
      </c>
      <c r="D103" s="193"/>
      <c r="E103" s="197"/>
      <c r="F103" s="198" t="s">
        <v>649</v>
      </c>
      <c r="G103" s="201">
        <f>+ANEXO1!G117</f>
        <v>1500</v>
      </c>
    </row>
    <row r="104" spans="1:7" ht="12.75">
      <c r="A104" s="196">
        <v>5</v>
      </c>
      <c r="B104" s="193">
        <v>1</v>
      </c>
      <c r="C104" s="193">
        <v>2</v>
      </c>
      <c r="D104" s="193"/>
      <c r="E104" s="193"/>
      <c r="F104" s="198" t="s">
        <v>650</v>
      </c>
      <c r="G104" s="201"/>
    </row>
    <row r="105" spans="1:7" ht="12.75">
      <c r="A105" s="196">
        <v>5</v>
      </c>
      <c r="B105" s="193">
        <v>2</v>
      </c>
      <c r="C105" s="193"/>
      <c r="D105" s="193"/>
      <c r="E105" s="193"/>
      <c r="F105" s="198" t="s">
        <v>687</v>
      </c>
      <c r="G105" s="199">
        <v>0</v>
      </c>
    </row>
    <row r="106" spans="1:7" ht="12.75">
      <c r="A106" s="196">
        <v>5</v>
      </c>
      <c r="B106" s="193">
        <v>3</v>
      </c>
      <c r="C106" s="193"/>
      <c r="D106" s="193"/>
      <c r="E106" s="193"/>
      <c r="F106" s="198" t="s">
        <v>688</v>
      </c>
      <c r="G106" s="199">
        <f>+G107</f>
        <v>0</v>
      </c>
    </row>
    <row r="107" spans="1:7" ht="12.75">
      <c r="A107" s="196">
        <v>5</v>
      </c>
      <c r="B107" s="193">
        <v>3</v>
      </c>
      <c r="C107" s="193">
        <v>1</v>
      </c>
      <c r="D107" s="193"/>
      <c r="E107" s="193"/>
      <c r="F107" s="198" t="s">
        <v>651</v>
      </c>
      <c r="G107" s="201"/>
    </row>
    <row r="108" spans="1:7" ht="12.75">
      <c r="A108" s="191">
        <v>6</v>
      </c>
      <c r="B108" s="193"/>
      <c r="C108" s="193"/>
      <c r="D108" s="193"/>
      <c r="E108" s="193"/>
      <c r="F108" s="198" t="s">
        <v>553</v>
      </c>
      <c r="G108" s="199">
        <f>+G109</f>
        <v>0</v>
      </c>
    </row>
    <row r="109" spans="1:7" ht="12.75">
      <c r="A109" s="196">
        <v>6</v>
      </c>
      <c r="B109" s="193">
        <v>1</v>
      </c>
      <c r="C109" s="193"/>
      <c r="D109" s="193"/>
      <c r="E109" s="193"/>
      <c r="F109" s="198" t="s">
        <v>689</v>
      </c>
      <c r="G109" s="199">
        <f>+G110</f>
        <v>0</v>
      </c>
    </row>
    <row r="110" spans="1:7" ht="13.5" thickBot="1">
      <c r="A110" s="204">
        <v>6</v>
      </c>
      <c r="B110" s="205">
        <v>1</v>
      </c>
      <c r="C110" s="205">
        <v>1</v>
      </c>
      <c r="D110" s="205"/>
      <c r="E110" s="205"/>
      <c r="F110" s="271" t="s">
        <v>652</v>
      </c>
      <c r="G110" s="208"/>
    </row>
    <row r="111" spans="6:7" ht="13.5" thickBot="1">
      <c r="F111" s="295" t="s">
        <v>690</v>
      </c>
      <c r="G111" s="184">
        <f>+G90+G101+G108</f>
        <v>1340330</v>
      </c>
    </row>
  </sheetData>
  <sheetProtection/>
  <mergeCells count="8">
    <mergeCell ref="A2:G2"/>
    <mergeCell ref="A4:E4"/>
    <mergeCell ref="A30:G30"/>
    <mergeCell ref="A32:E32"/>
    <mergeCell ref="A86:G86"/>
    <mergeCell ref="A88:E88"/>
    <mergeCell ref="A58:G58"/>
    <mergeCell ref="A60:E60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r:id="rId1"/>
  <rowBreaks count="3" manualBreakCount="3">
    <brk id="27" max="255" man="1"/>
    <brk id="55" max="255" man="1"/>
    <brk id="8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17"/>
  <sheetViews>
    <sheetView zoomScale="75" zoomScaleNormal="75" zoomScaleSheetLayoutView="75" zoomScalePageLayoutView="0" workbookViewId="0" topLeftCell="A86">
      <selection activeCell="B89" sqref="B89"/>
    </sheetView>
  </sheetViews>
  <sheetFormatPr defaultColWidth="11.421875" defaultRowHeight="12.75"/>
  <cols>
    <col min="1" max="1" width="7.28125" style="0" customWidth="1"/>
    <col min="2" max="2" width="49.8515625" style="0" customWidth="1"/>
    <col min="3" max="3" width="14.57421875" style="0" bestFit="1" customWidth="1"/>
    <col min="4" max="5" width="12.8515625" style="0" bestFit="1" customWidth="1"/>
    <col min="6" max="6" width="14.140625" style="0" bestFit="1" customWidth="1"/>
    <col min="7" max="7" width="11.8515625" style="0" bestFit="1" customWidth="1"/>
    <col min="8" max="8" width="12.7109375" style="0" bestFit="1" customWidth="1"/>
  </cols>
  <sheetData>
    <row r="1" spans="1:8" ht="12.75">
      <c r="A1" s="48"/>
      <c r="B1" s="48"/>
      <c r="C1" s="48"/>
      <c r="D1" s="48"/>
      <c r="E1" s="48"/>
      <c r="F1" s="57" t="s">
        <v>363</v>
      </c>
      <c r="G1" s="48"/>
      <c r="H1" s="48"/>
    </row>
    <row r="2" spans="1:8" ht="12.75">
      <c r="A2" s="764" t="s">
        <v>383</v>
      </c>
      <c r="B2" s="764"/>
      <c r="C2" s="764"/>
      <c r="D2" s="764"/>
      <c r="E2" s="764"/>
      <c r="F2" s="764"/>
      <c r="G2" s="764"/>
      <c r="H2" s="764"/>
    </row>
    <row r="3" spans="1:8" ht="12.75">
      <c r="A3" s="33" t="s">
        <v>989</v>
      </c>
      <c r="B3" s="14" t="s">
        <v>639</v>
      </c>
      <c r="C3" s="48"/>
      <c r="D3" s="48"/>
      <c r="E3" s="48"/>
      <c r="F3" s="48"/>
      <c r="G3" s="48"/>
      <c r="H3" s="48"/>
    </row>
    <row r="4" spans="1:8" ht="12.75">
      <c r="A4" s="764" t="s">
        <v>1013</v>
      </c>
      <c r="B4" s="764"/>
      <c r="C4" s="764"/>
      <c r="D4" s="764"/>
      <c r="E4" s="764"/>
      <c r="F4" s="764"/>
      <c r="G4" s="764"/>
      <c r="H4" s="764"/>
    </row>
    <row r="5" spans="1:8" ht="12.75">
      <c r="A5" s="48"/>
      <c r="B5" s="48"/>
      <c r="C5" s="48"/>
      <c r="D5" s="48"/>
      <c r="E5" s="48"/>
      <c r="F5" s="48"/>
      <c r="G5" s="48"/>
      <c r="H5" s="48"/>
    </row>
    <row r="6" spans="1:10" ht="12.75">
      <c r="A6" s="157" t="s">
        <v>621</v>
      </c>
      <c r="B6" s="157" t="s">
        <v>996</v>
      </c>
      <c r="C6" s="157" t="s">
        <v>1004</v>
      </c>
      <c r="D6" s="157" t="s">
        <v>654</v>
      </c>
      <c r="E6" s="157" t="s">
        <v>655</v>
      </c>
      <c r="F6" s="157" t="s">
        <v>992</v>
      </c>
      <c r="G6" s="157" t="s">
        <v>638</v>
      </c>
      <c r="H6" s="50"/>
      <c r="I6" s="1"/>
      <c r="J6" s="1"/>
    </row>
    <row r="7" spans="1:10" ht="12.75">
      <c r="A7" s="157"/>
      <c r="B7" s="157"/>
      <c r="C7" s="157" t="s">
        <v>997</v>
      </c>
      <c r="D7" s="157" t="s">
        <v>993</v>
      </c>
      <c r="E7" s="157" t="s">
        <v>994</v>
      </c>
      <c r="F7" s="157" t="s">
        <v>1006</v>
      </c>
      <c r="G7" s="157"/>
      <c r="H7" s="51"/>
      <c r="I7" s="1"/>
      <c r="J7" s="1"/>
    </row>
    <row r="8" spans="1:10" s="11" customFormat="1" ht="12.75">
      <c r="A8" s="49" t="s">
        <v>995</v>
      </c>
      <c r="B8" s="49"/>
      <c r="C8" s="49"/>
      <c r="D8" s="49"/>
      <c r="E8" s="49"/>
      <c r="F8" s="49"/>
      <c r="G8" s="49"/>
      <c r="H8" s="51"/>
      <c r="I8" s="1"/>
      <c r="J8" s="562"/>
    </row>
    <row r="9" spans="1:10" ht="12.75">
      <c r="A9" s="197" t="s">
        <v>666</v>
      </c>
      <c r="B9" s="200" t="s">
        <v>667</v>
      </c>
      <c r="C9" s="272">
        <f>113080-4520</f>
        <v>108560</v>
      </c>
      <c r="D9" s="272">
        <f>88490-3540</f>
        <v>84950</v>
      </c>
      <c r="E9" s="272">
        <f>196680-7860-100000</f>
        <v>88820</v>
      </c>
      <c r="F9" s="272">
        <f>88490-3540</f>
        <v>84950</v>
      </c>
      <c r="G9" s="158">
        <f aca="true" t="shared" si="0" ref="G9:G22">SUM(C9:F9)</f>
        <v>367280</v>
      </c>
      <c r="I9" s="1"/>
      <c r="J9" s="1"/>
    </row>
    <row r="10" spans="1:10" ht="12.75">
      <c r="A10" s="197" t="s">
        <v>668</v>
      </c>
      <c r="B10" s="200" t="s">
        <v>669</v>
      </c>
      <c r="C10" s="272">
        <f>2010-80</f>
        <v>1930</v>
      </c>
      <c r="D10" s="272">
        <f>25110-1000</f>
        <v>24110</v>
      </c>
      <c r="E10" s="272">
        <f>46360-4850</f>
        <v>41510</v>
      </c>
      <c r="F10" s="272">
        <f>27180-1080</f>
        <v>26100</v>
      </c>
      <c r="G10" s="158">
        <f t="shared" si="0"/>
        <v>93650</v>
      </c>
      <c r="I10" s="1"/>
      <c r="J10" s="1"/>
    </row>
    <row r="11" spans="1:10" ht="12.75">
      <c r="A11" s="197" t="s">
        <v>670</v>
      </c>
      <c r="B11" s="200" t="s">
        <v>726</v>
      </c>
      <c r="C11" s="272">
        <v>0</v>
      </c>
      <c r="D11" s="272">
        <v>0</v>
      </c>
      <c r="E11" s="272">
        <v>0</v>
      </c>
      <c r="F11" s="272">
        <v>0</v>
      </c>
      <c r="G11" s="158">
        <f t="shared" si="0"/>
        <v>0</v>
      </c>
      <c r="I11" s="1"/>
      <c r="J11" s="1"/>
    </row>
    <row r="12" spans="1:10" ht="12.75">
      <c r="A12" s="197" t="s">
        <v>672</v>
      </c>
      <c r="B12" s="200" t="s">
        <v>671</v>
      </c>
      <c r="C12" s="272">
        <f>4780-190</f>
        <v>4590</v>
      </c>
      <c r="D12" s="272">
        <f>10240-410</f>
        <v>9830</v>
      </c>
      <c r="E12" s="272">
        <f>38350-8530</f>
        <v>29820</v>
      </c>
      <c r="F12" s="272">
        <f>3920-150</f>
        <v>3770</v>
      </c>
      <c r="G12" s="158">
        <f t="shared" si="0"/>
        <v>48010</v>
      </c>
      <c r="I12" s="1"/>
      <c r="J12" s="1"/>
    </row>
    <row r="13" spans="1:10" ht="12.75">
      <c r="A13" s="197" t="s">
        <v>673</v>
      </c>
      <c r="B13" s="200" t="s">
        <v>674</v>
      </c>
      <c r="C13" s="272">
        <f>10150-400</f>
        <v>9750</v>
      </c>
      <c r="D13" s="272">
        <f>80580-3220</f>
        <v>77360</v>
      </c>
      <c r="E13" s="272">
        <f>161980-6470</f>
        <v>155510</v>
      </c>
      <c r="F13" s="272">
        <f>95840-3830</f>
        <v>92010</v>
      </c>
      <c r="G13" s="158">
        <f t="shared" si="0"/>
        <v>334630</v>
      </c>
      <c r="I13" s="1"/>
      <c r="J13" s="1"/>
    </row>
    <row r="14" spans="1:10" ht="12.75">
      <c r="A14" s="197" t="s">
        <v>675</v>
      </c>
      <c r="B14" s="200" t="s">
        <v>727</v>
      </c>
      <c r="C14" s="272">
        <v>0</v>
      </c>
      <c r="D14" s="272">
        <v>0</v>
      </c>
      <c r="E14" s="272">
        <v>0</v>
      </c>
      <c r="F14" s="272">
        <v>0</v>
      </c>
      <c r="G14" s="158">
        <f t="shared" si="0"/>
        <v>0</v>
      </c>
      <c r="I14" s="1"/>
      <c r="J14" s="1"/>
    </row>
    <row r="15" spans="1:10" ht="12.75">
      <c r="A15" s="197" t="s">
        <v>677</v>
      </c>
      <c r="B15" s="200" t="s">
        <v>676</v>
      </c>
      <c r="C15" s="272">
        <f>13580-70</f>
        <v>13510</v>
      </c>
      <c r="D15" s="272">
        <f>20180-800</f>
        <v>19380</v>
      </c>
      <c r="E15" s="272">
        <f>45440-2810</f>
        <v>42630</v>
      </c>
      <c r="F15" s="272">
        <f>21950-870</f>
        <v>21080</v>
      </c>
      <c r="G15" s="158">
        <f t="shared" si="0"/>
        <v>96600</v>
      </c>
      <c r="I15" s="1"/>
      <c r="J15" s="1"/>
    </row>
    <row r="16" spans="1:10" ht="12.75">
      <c r="A16" s="197" t="s">
        <v>679</v>
      </c>
      <c r="B16" s="200" t="s">
        <v>678</v>
      </c>
      <c r="C16" s="272">
        <f>1850-70</f>
        <v>1780</v>
      </c>
      <c r="D16" s="272">
        <f>17470-700</f>
        <v>16770</v>
      </c>
      <c r="E16" s="272">
        <f>32500-8300</f>
        <v>24200</v>
      </c>
      <c r="F16" s="272">
        <f>10590-420</f>
        <v>10170</v>
      </c>
      <c r="G16" s="158">
        <f t="shared" si="0"/>
        <v>52920</v>
      </c>
      <c r="I16" s="1"/>
      <c r="J16" s="1"/>
    </row>
    <row r="17" spans="1:10" ht="12.75">
      <c r="A17" s="197" t="s">
        <v>680</v>
      </c>
      <c r="B17" s="200" t="s">
        <v>728</v>
      </c>
      <c r="C17" s="272">
        <f>670-30</f>
        <v>640</v>
      </c>
      <c r="D17" s="272">
        <f>2410-90</f>
        <v>2320</v>
      </c>
      <c r="E17" s="272">
        <f>23510-940</f>
        <v>22570</v>
      </c>
      <c r="F17" s="272">
        <f>7940-310</f>
        <v>7630</v>
      </c>
      <c r="G17" s="158">
        <f t="shared" si="0"/>
        <v>33160</v>
      </c>
      <c r="I17" s="1"/>
      <c r="J17" s="1"/>
    </row>
    <row r="18" spans="1:10" ht="12.75">
      <c r="A18" s="197" t="s">
        <v>681</v>
      </c>
      <c r="B18" s="200" t="s">
        <v>730</v>
      </c>
      <c r="C18" s="272">
        <f>1020-40</f>
        <v>980</v>
      </c>
      <c r="D18" s="272">
        <f>8120-320</f>
        <v>7800</v>
      </c>
      <c r="E18" s="272">
        <f>16240-650</f>
        <v>15590</v>
      </c>
      <c r="F18" s="272">
        <f>9630-1120</f>
        <v>8510</v>
      </c>
      <c r="G18" s="158">
        <f t="shared" si="0"/>
        <v>32880</v>
      </c>
      <c r="I18" s="1"/>
      <c r="J18" s="1"/>
    </row>
    <row r="19" spans="1:10" ht="12.75">
      <c r="A19" s="197" t="s">
        <v>725</v>
      </c>
      <c r="B19" s="200" t="s">
        <v>731</v>
      </c>
      <c r="C19" s="272">
        <f>13150-520</f>
        <v>12630</v>
      </c>
      <c r="D19" s="272">
        <f>23860-950</f>
        <v>22910</v>
      </c>
      <c r="E19" s="272">
        <f>64090-5560</f>
        <v>58530</v>
      </c>
      <c r="F19" s="272">
        <f>28070-1120</f>
        <v>26950</v>
      </c>
      <c r="G19" s="158">
        <f t="shared" si="0"/>
        <v>121020</v>
      </c>
      <c r="I19" s="1"/>
      <c r="J19" s="1"/>
    </row>
    <row r="20" spans="1:10" ht="12.75">
      <c r="A20" s="197" t="s">
        <v>729</v>
      </c>
      <c r="B20" s="200" t="s">
        <v>732</v>
      </c>
      <c r="C20" s="272">
        <f>10650-420</f>
        <v>10230</v>
      </c>
      <c r="D20" s="272">
        <f>12870-510</f>
        <v>12360</v>
      </c>
      <c r="E20" s="272">
        <f>37290-4490</f>
        <v>32800</v>
      </c>
      <c r="F20" s="272">
        <f>15210-600</f>
        <v>14610</v>
      </c>
      <c r="G20" s="158">
        <f t="shared" si="0"/>
        <v>70000</v>
      </c>
      <c r="I20" s="1"/>
      <c r="J20" s="1"/>
    </row>
    <row r="21" spans="1:10" ht="12.75">
      <c r="A21" s="197" t="s">
        <v>733</v>
      </c>
      <c r="B21" s="200" t="s">
        <v>735</v>
      </c>
      <c r="C21" s="272">
        <f>1890-70</f>
        <v>1820</v>
      </c>
      <c r="D21" s="272">
        <f>2300-90</f>
        <v>2210</v>
      </c>
      <c r="E21" s="272">
        <f>6590-260</f>
        <v>6330</v>
      </c>
      <c r="F21" s="272">
        <f>2940-110</f>
        <v>2830</v>
      </c>
      <c r="G21" s="158">
        <f t="shared" si="0"/>
        <v>13190</v>
      </c>
      <c r="I21" s="1"/>
      <c r="J21" s="1"/>
    </row>
    <row r="22" spans="1:10" ht="12.75">
      <c r="A22" s="197" t="s">
        <v>734</v>
      </c>
      <c r="B22" s="200" t="s">
        <v>736</v>
      </c>
      <c r="C22" s="258"/>
      <c r="D22" s="258"/>
      <c r="E22" s="258"/>
      <c r="F22" s="258"/>
      <c r="G22" s="158">
        <f t="shared" si="0"/>
        <v>0</v>
      </c>
      <c r="I22" s="1"/>
      <c r="J22" s="1"/>
    </row>
    <row r="23" spans="1:10" ht="12.75">
      <c r="A23" s="159"/>
      <c r="B23" s="160" t="s">
        <v>638</v>
      </c>
      <c r="C23" s="158">
        <f>SUM(C9:C22)</f>
        <v>166420</v>
      </c>
      <c r="D23" s="158">
        <f>SUM(D9:D22)</f>
        <v>280000</v>
      </c>
      <c r="E23" s="158">
        <f>SUM(E9:E22)</f>
        <v>518310</v>
      </c>
      <c r="F23" s="158">
        <f>SUM(F9:F22)</f>
        <v>298610</v>
      </c>
      <c r="G23" s="158">
        <f>SUM(G9:G22)</f>
        <v>1263340</v>
      </c>
      <c r="H23" s="50"/>
      <c r="I23" s="1"/>
      <c r="J23" s="1"/>
    </row>
    <row r="24" spans="1:10" ht="12.75">
      <c r="A24" s="48"/>
      <c r="B24" s="48"/>
      <c r="C24" s="48"/>
      <c r="D24" s="48"/>
      <c r="E24" s="48"/>
      <c r="F24" s="48"/>
      <c r="G24" s="48"/>
      <c r="H24" s="48"/>
      <c r="I24" s="1"/>
      <c r="J24" s="1"/>
    </row>
    <row r="25" spans="1:9" ht="12.75">
      <c r="A25" s="157" t="s">
        <v>621</v>
      </c>
      <c r="B25" s="157" t="s">
        <v>998</v>
      </c>
      <c r="C25" s="157" t="s">
        <v>654</v>
      </c>
      <c r="D25" s="157" t="s">
        <v>638</v>
      </c>
      <c r="E25" s="49"/>
      <c r="F25" s="49"/>
      <c r="G25" s="50"/>
      <c r="I25" s="1"/>
    </row>
    <row r="26" spans="1:7" ht="12.75">
      <c r="A26" s="157"/>
      <c r="B26" s="157"/>
      <c r="C26" s="157" t="s">
        <v>993</v>
      </c>
      <c r="D26" s="157"/>
      <c r="E26" s="49"/>
      <c r="F26" s="49"/>
      <c r="G26" s="51"/>
    </row>
    <row r="27" spans="1:7" s="11" customFormat="1" ht="12.75">
      <c r="A27" s="49" t="s">
        <v>999</v>
      </c>
      <c r="B27" s="49"/>
      <c r="C27" s="49"/>
      <c r="D27" s="49"/>
      <c r="E27" s="49"/>
      <c r="F27" s="49"/>
      <c r="G27" s="51"/>
    </row>
    <row r="28" spans="1:6" ht="12.75">
      <c r="A28" s="197" t="s">
        <v>666</v>
      </c>
      <c r="B28" s="200" t="s">
        <v>667</v>
      </c>
      <c r="C28" s="272">
        <f>60870-2430</f>
        <v>58440</v>
      </c>
      <c r="D28" s="158">
        <f aca="true" t="shared" si="1" ref="D28:D41">SUM(C28:C28)</f>
        <v>58440</v>
      </c>
      <c r="F28" s="49"/>
    </row>
    <row r="29" spans="1:7" ht="12.75">
      <c r="A29" s="197" t="s">
        <v>668</v>
      </c>
      <c r="B29" s="200" t="s">
        <v>669</v>
      </c>
      <c r="C29" s="272">
        <f>1410-50</f>
        <v>1360</v>
      </c>
      <c r="D29" s="158">
        <f t="shared" si="1"/>
        <v>1360</v>
      </c>
      <c r="F29" s="49"/>
      <c r="G29" s="1"/>
    </row>
    <row r="30" spans="1:6" ht="12.75">
      <c r="A30" s="197" t="s">
        <v>670</v>
      </c>
      <c r="B30" s="200" t="s">
        <v>726</v>
      </c>
      <c r="C30" s="272">
        <v>0</v>
      </c>
      <c r="D30" s="158">
        <f t="shared" si="1"/>
        <v>0</v>
      </c>
      <c r="F30" s="49"/>
    </row>
    <row r="31" spans="1:6" ht="12.75">
      <c r="A31" s="197" t="s">
        <v>672</v>
      </c>
      <c r="B31" s="200" t="s">
        <v>671</v>
      </c>
      <c r="C31" s="272">
        <v>0</v>
      </c>
      <c r="D31" s="158">
        <f t="shared" si="1"/>
        <v>0</v>
      </c>
      <c r="F31" s="49"/>
    </row>
    <row r="32" spans="1:6" ht="12.75">
      <c r="A32" s="197" t="s">
        <v>673</v>
      </c>
      <c r="B32" s="200" t="s">
        <v>674</v>
      </c>
      <c r="C32" s="272">
        <f>24110-960</f>
        <v>23150</v>
      </c>
      <c r="D32" s="158">
        <f t="shared" si="1"/>
        <v>23150</v>
      </c>
      <c r="F32" s="49"/>
    </row>
    <row r="33" spans="1:6" ht="12.75">
      <c r="A33" s="197" t="s">
        <v>675</v>
      </c>
      <c r="B33" s="200" t="s">
        <v>727</v>
      </c>
      <c r="C33" s="272">
        <v>0</v>
      </c>
      <c r="D33" s="158">
        <f t="shared" si="1"/>
        <v>0</v>
      </c>
      <c r="F33" s="49"/>
    </row>
    <row r="34" spans="1:6" ht="12.75">
      <c r="A34" s="197" t="s">
        <v>677</v>
      </c>
      <c r="B34" s="200" t="s">
        <v>676</v>
      </c>
      <c r="C34" s="272">
        <f>11550-460</f>
        <v>11090</v>
      </c>
      <c r="D34" s="158">
        <f t="shared" si="1"/>
        <v>11090</v>
      </c>
      <c r="F34" s="49"/>
    </row>
    <row r="35" spans="1:6" ht="12.75">
      <c r="A35" s="197" t="s">
        <v>679</v>
      </c>
      <c r="B35" s="200" t="s">
        <v>678</v>
      </c>
      <c r="C35" s="272">
        <f>7970-320</f>
        <v>7650</v>
      </c>
      <c r="D35" s="158">
        <f t="shared" si="1"/>
        <v>7650</v>
      </c>
      <c r="F35" s="49"/>
    </row>
    <row r="36" spans="1:6" ht="12.75">
      <c r="A36" s="197" t="s">
        <v>680</v>
      </c>
      <c r="B36" s="200" t="s">
        <v>728</v>
      </c>
      <c r="C36" s="272">
        <f>6760-270</f>
        <v>6490</v>
      </c>
      <c r="D36" s="158">
        <f t="shared" si="1"/>
        <v>6490</v>
      </c>
      <c r="F36" s="49"/>
    </row>
    <row r="37" spans="1:6" ht="12.75">
      <c r="A37" s="197" t="s">
        <v>681</v>
      </c>
      <c r="B37" s="200" t="s">
        <v>730</v>
      </c>
      <c r="C37" s="272">
        <f>18980-750</f>
        <v>18230</v>
      </c>
      <c r="D37" s="158">
        <f t="shared" si="1"/>
        <v>18230</v>
      </c>
      <c r="F37" s="49"/>
    </row>
    <row r="38" spans="1:6" ht="12.75">
      <c r="A38" s="197" t="s">
        <v>725</v>
      </c>
      <c r="B38" s="200" t="s">
        <v>731</v>
      </c>
      <c r="C38" s="272">
        <f>7400-290</f>
        <v>7110</v>
      </c>
      <c r="D38" s="158">
        <f t="shared" si="1"/>
        <v>7110</v>
      </c>
      <c r="F38" s="49"/>
    </row>
    <row r="39" spans="1:6" ht="12.75">
      <c r="A39" s="197" t="s">
        <v>729</v>
      </c>
      <c r="B39" s="200" t="s">
        <v>732</v>
      </c>
      <c r="C39" s="272">
        <f>4370-170</f>
        <v>4200</v>
      </c>
      <c r="D39" s="158">
        <f t="shared" si="1"/>
        <v>4200</v>
      </c>
      <c r="F39" s="49"/>
    </row>
    <row r="40" spans="1:6" ht="12.75">
      <c r="A40" s="197" t="s">
        <v>733</v>
      </c>
      <c r="B40" s="200" t="s">
        <v>735</v>
      </c>
      <c r="C40" s="272">
        <f>890-40</f>
        <v>850</v>
      </c>
      <c r="D40" s="158">
        <f t="shared" si="1"/>
        <v>850</v>
      </c>
      <c r="F40" s="49"/>
    </row>
    <row r="41" spans="1:6" ht="12.75">
      <c r="A41" s="197" t="s">
        <v>734</v>
      </c>
      <c r="B41" s="200" t="s">
        <v>736</v>
      </c>
      <c r="C41" s="258">
        <v>0</v>
      </c>
      <c r="D41" s="158">
        <f t="shared" si="1"/>
        <v>0</v>
      </c>
      <c r="F41" s="49"/>
    </row>
    <row r="42" spans="1:7" ht="12.75">
      <c r="A42" s="159"/>
      <c r="B42" s="160" t="s">
        <v>638</v>
      </c>
      <c r="C42" s="158">
        <f>SUM(C28:C41)</f>
        <v>138570</v>
      </c>
      <c r="D42" s="158">
        <f>SUM(D28:D41)</f>
        <v>138570</v>
      </c>
      <c r="E42" s="52"/>
      <c r="F42" s="49"/>
      <c r="G42" s="50"/>
    </row>
    <row r="43" spans="1:8" ht="12.75">
      <c r="A43" s="48"/>
      <c r="B43" s="48"/>
      <c r="C43" s="9"/>
      <c r="D43" s="9"/>
      <c r="E43" s="9"/>
      <c r="F43" s="1"/>
      <c r="G43" s="654" t="s">
        <v>363</v>
      </c>
      <c r="H43" s="9"/>
    </row>
    <row r="44" spans="1:8" ht="12.75">
      <c r="A44" s="764" t="s">
        <v>383</v>
      </c>
      <c r="B44" s="764"/>
      <c r="C44" s="764"/>
      <c r="D44" s="764"/>
      <c r="E44" s="764"/>
      <c r="F44" s="764"/>
      <c r="G44" s="764"/>
      <c r="H44" s="764"/>
    </row>
    <row r="45" spans="1:8" ht="12.75">
      <c r="A45" s="33" t="s">
        <v>989</v>
      </c>
      <c r="B45" s="14" t="s">
        <v>639</v>
      </c>
      <c r="C45" s="48"/>
      <c r="D45" s="48"/>
      <c r="E45" s="48"/>
      <c r="F45" s="48"/>
      <c r="G45" s="48"/>
      <c r="H45" s="48"/>
    </row>
    <row r="46" spans="1:8" ht="12.75">
      <c r="A46" s="764" t="s">
        <v>1013</v>
      </c>
      <c r="B46" s="764"/>
      <c r="C46" s="764"/>
      <c r="D46" s="764"/>
      <c r="E46" s="764"/>
      <c r="F46" s="764"/>
      <c r="G46" s="764"/>
      <c r="H46" s="764"/>
    </row>
    <row r="47" spans="1:8" ht="12.75">
      <c r="A47" s="48"/>
      <c r="B47" s="48"/>
      <c r="C47" s="48"/>
      <c r="D47" s="48"/>
      <c r="E47" s="48"/>
      <c r="F47" s="48"/>
      <c r="G47" s="48"/>
      <c r="H47" s="48"/>
    </row>
    <row r="48" spans="1:10" ht="12.75">
      <c r="A48" s="157" t="s">
        <v>621</v>
      </c>
      <c r="B48" s="157" t="s">
        <v>1001</v>
      </c>
      <c r="C48" s="157" t="s">
        <v>639</v>
      </c>
      <c r="D48" s="157" t="s">
        <v>654</v>
      </c>
      <c r="E48" s="157" t="s">
        <v>991</v>
      </c>
      <c r="F48" s="157" t="s">
        <v>655</v>
      </c>
      <c r="G48" s="157" t="s">
        <v>992</v>
      </c>
      <c r="H48" s="157" t="s">
        <v>638</v>
      </c>
      <c r="I48" s="50"/>
      <c r="J48" s="1"/>
    </row>
    <row r="49" spans="1:10" ht="12.75">
      <c r="A49" s="157"/>
      <c r="B49" s="157"/>
      <c r="C49" s="157" t="s">
        <v>997</v>
      </c>
      <c r="D49" s="157" t="s">
        <v>993</v>
      </c>
      <c r="E49" s="157" t="s">
        <v>1005</v>
      </c>
      <c r="F49" s="157" t="s">
        <v>994</v>
      </c>
      <c r="G49" s="157" t="s">
        <v>1006</v>
      </c>
      <c r="H49" s="157"/>
      <c r="I49" s="51"/>
      <c r="J49" s="1"/>
    </row>
    <row r="50" spans="1:10" s="11" customFormat="1" ht="12.75">
      <c r="A50" s="49" t="s">
        <v>1000</v>
      </c>
      <c r="B50" s="49"/>
      <c r="C50" s="49"/>
      <c r="D50" s="49"/>
      <c r="E50" s="49"/>
      <c r="F50" s="49"/>
      <c r="G50" s="49"/>
      <c r="H50" s="49"/>
      <c r="I50" s="51"/>
      <c r="J50" s="1"/>
    </row>
    <row r="51" spans="1:10" ht="12.75">
      <c r="A51" s="193">
        <v>1</v>
      </c>
      <c r="B51" s="200" t="s">
        <v>834</v>
      </c>
      <c r="C51" s="258"/>
      <c r="D51" s="258"/>
      <c r="E51" s="258"/>
      <c r="F51" s="258"/>
      <c r="G51" s="258">
        <f>2000-320</f>
        <v>1680</v>
      </c>
      <c r="H51" s="158">
        <f aca="true" t="shared" si="2" ref="H51:H69">SUM(C51:G51)</f>
        <v>1680</v>
      </c>
      <c r="J51" s="1"/>
    </row>
    <row r="52" spans="1:10" ht="12.75">
      <c r="A52" s="193">
        <v>2</v>
      </c>
      <c r="B52" s="200" t="s">
        <v>835</v>
      </c>
      <c r="C52" s="258"/>
      <c r="D52" s="258"/>
      <c r="E52" s="258"/>
      <c r="F52" s="258"/>
      <c r="G52" s="258"/>
      <c r="H52" s="158">
        <f t="shared" si="2"/>
        <v>0</v>
      </c>
      <c r="J52" s="1"/>
    </row>
    <row r="53" spans="1:10" ht="12.75">
      <c r="A53" s="193">
        <v>3</v>
      </c>
      <c r="B53" s="200" t="s">
        <v>836</v>
      </c>
      <c r="C53" s="258"/>
      <c r="D53" s="258"/>
      <c r="E53" s="258"/>
      <c r="F53" s="258"/>
      <c r="G53" s="258"/>
      <c r="H53" s="158">
        <f t="shared" si="2"/>
        <v>0</v>
      </c>
      <c r="J53" s="562"/>
    </row>
    <row r="54" spans="1:10" ht="12.75">
      <c r="A54" s="193">
        <v>4</v>
      </c>
      <c r="B54" s="200" t="s">
        <v>837</v>
      </c>
      <c r="C54" s="258"/>
      <c r="D54" s="258">
        <f>3100-650</f>
        <v>2450</v>
      </c>
      <c r="E54" s="258"/>
      <c r="F54" s="258">
        <v>1000</v>
      </c>
      <c r="G54" s="258"/>
      <c r="H54" s="158">
        <f t="shared" si="2"/>
        <v>3450</v>
      </c>
      <c r="J54" s="562"/>
    </row>
    <row r="55" spans="1:10" ht="12.75">
      <c r="A55" s="193">
        <v>5</v>
      </c>
      <c r="B55" s="200" t="s">
        <v>838</v>
      </c>
      <c r="C55" s="258"/>
      <c r="D55" s="258">
        <v>490</v>
      </c>
      <c r="E55" s="258"/>
      <c r="F55" s="258">
        <f>2200-1000</f>
        <v>1200</v>
      </c>
      <c r="G55" s="258">
        <f>20000-3630-6000</f>
        <v>10370</v>
      </c>
      <c r="H55" s="158">
        <f t="shared" si="2"/>
        <v>12060</v>
      </c>
      <c r="J55" s="562"/>
    </row>
    <row r="56" spans="1:10" ht="12.75">
      <c r="A56" s="193">
        <v>6</v>
      </c>
      <c r="B56" s="200" t="s">
        <v>839</v>
      </c>
      <c r="C56" s="258"/>
      <c r="D56" s="258"/>
      <c r="E56" s="258"/>
      <c r="F56" s="258"/>
      <c r="G56" s="258"/>
      <c r="H56" s="158">
        <f t="shared" si="2"/>
        <v>0</v>
      </c>
      <c r="J56" s="562"/>
    </row>
    <row r="57" spans="1:10" ht="12.75">
      <c r="A57" s="193">
        <v>7</v>
      </c>
      <c r="B57" s="200" t="s">
        <v>840</v>
      </c>
      <c r="C57" s="258"/>
      <c r="D57" s="258"/>
      <c r="E57" s="258"/>
      <c r="F57" s="258"/>
      <c r="G57" s="258"/>
      <c r="H57" s="158">
        <f t="shared" si="2"/>
        <v>0</v>
      </c>
      <c r="J57" s="562"/>
    </row>
    <row r="58" spans="1:10" ht="12.75">
      <c r="A58" s="193">
        <v>8</v>
      </c>
      <c r="B58" s="200" t="s">
        <v>842</v>
      </c>
      <c r="C58" s="258"/>
      <c r="D58" s="258"/>
      <c r="E58" s="258"/>
      <c r="F58" s="258"/>
      <c r="G58" s="258"/>
      <c r="H58" s="158">
        <f t="shared" si="2"/>
        <v>0</v>
      </c>
      <c r="J58" s="562"/>
    </row>
    <row r="59" spans="1:10" ht="12.75">
      <c r="A59" s="193">
        <v>9</v>
      </c>
      <c r="B59" s="200" t="s">
        <v>843</v>
      </c>
      <c r="C59" s="258"/>
      <c r="D59" s="258"/>
      <c r="E59" s="258"/>
      <c r="F59" s="258"/>
      <c r="G59" s="258"/>
      <c r="H59" s="158">
        <f t="shared" si="2"/>
        <v>0</v>
      </c>
      <c r="J59" s="562"/>
    </row>
    <row r="60" spans="1:10" ht="12.75">
      <c r="A60" s="193">
        <v>10</v>
      </c>
      <c r="B60" s="200" t="s">
        <v>844</v>
      </c>
      <c r="C60" s="258"/>
      <c r="D60" s="258"/>
      <c r="E60" s="258"/>
      <c r="F60" s="258"/>
      <c r="G60" s="258"/>
      <c r="H60" s="158">
        <f t="shared" si="2"/>
        <v>0</v>
      </c>
      <c r="J60" s="562"/>
    </row>
    <row r="61" spans="1:10" ht="12.75">
      <c r="A61" s="193">
        <v>11</v>
      </c>
      <c r="B61" s="200" t="s">
        <v>845</v>
      </c>
      <c r="C61" s="258"/>
      <c r="D61" s="258"/>
      <c r="E61" s="258"/>
      <c r="F61" s="258">
        <v>570</v>
      </c>
      <c r="G61" s="258">
        <f>5000-890</f>
        <v>4110</v>
      </c>
      <c r="H61" s="158">
        <f t="shared" si="2"/>
        <v>4680</v>
      </c>
      <c r="J61" s="562"/>
    </row>
    <row r="62" spans="1:10" ht="12.75">
      <c r="A62" s="193">
        <v>12</v>
      </c>
      <c r="B62" s="200" t="s">
        <v>846</v>
      </c>
      <c r="C62" s="258"/>
      <c r="D62" s="258"/>
      <c r="E62" s="258"/>
      <c r="F62" s="258"/>
      <c r="G62" s="258"/>
      <c r="H62" s="158">
        <f t="shared" si="2"/>
        <v>0</v>
      </c>
      <c r="J62" s="562"/>
    </row>
    <row r="63" spans="1:10" ht="12.75">
      <c r="A63" s="193">
        <v>13</v>
      </c>
      <c r="B63" s="200" t="s">
        <v>847</v>
      </c>
      <c r="C63" s="258"/>
      <c r="D63" s="258"/>
      <c r="E63" s="258"/>
      <c r="F63" s="258"/>
      <c r="G63" s="258"/>
      <c r="H63" s="158">
        <f t="shared" si="2"/>
        <v>0</v>
      </c>
      <c r="J63" s="562"/>
    </row>
    <row r="64" spans="1:10" ht="12.75">
      <c r="A64" s="193">
        <v>14</v>
      </c>
      <c r="B64" s="200" t="s">
        <v>848</v>
      </c>
      <c r="C64" s="258"/>
      <c r="D64" s="258"/>
      <c r="E64" s="258"/>
      <c r="F64" s="258"/>
      <c r="G64" s="258"/>
      <c r="H64" s="158">
        <f t="shared" si="2"/>
        <v>0</v>
      </c>
      <c r="J64" s="562"/>
    </row>
    <row r="65" spans="1:10" ht="12.75">
      <c r="A65" s="193">
        <v>15</v>
      </c>
      <c r="B65" s="200" t="s">
        <v>849</v>
      </c>
      <c r="C65" s="258">
        <f>1390-300</f>
        <v>1090</v>
      </c>
      <c r="D65" s="258">
        <f>6000-2000</f>
        <v>4000</v>
      </c>
      <c r="E65" s="258"/>
      <c r="F65" s="258">
        <v>3600</v>
      </c>
      <c r="G65" s="258">
        <f>8000-3030</f>
        <v>4970</v>
      </c>
      <c r="H65" s="158">
        <f t="shared" si="2"/>
        <v>13660</v>
      </c>
      <c r="J65" s="562"/>
    </row>
    <row r="66" spans="1:10" ht="12.75">
      <c r="A66" s="193">
        <v>16</v>
      </c>
      <c r="B66" s="200" t="s">
        <v>850</v>
      </c>
      <c r="C66" s="258"/>
      <c r="D66" s="258"/>
      <c r="E66" s="258"/>
      <c r="F66" s="258"/>
      <c r="G66" s="258"/>
      <c r="H66" s="158">
        <f t="shared" si="2"/>
        <v>0</v>
      </c>
      <c r="J66" s="562"/>
    </row>
    <row r="67" spans="1:10" ht="12.75">
      <c r="A67" s="193">
        <v>17</v>
      </c>
      <c r="B67" s="200" t="s">
        <v>851</v>
      </c>
      <c r="C67" s="258"/>
      <c r="D67" s="258"/>
      <c r="E67" s="258"/>
      <c r="F67" s="258"/>
      <c r="G67" s="258"/>
      <c r="H67" s="158">
        <f t="shared" si="2"/>
        <v>0</v>
      </c>
      <c r="J67" s="562"/>
    </row>
    <row r="68" spans="1:10" ht="12.75">
      <c r="A68" s="193">
        <v>18</v>
      </c>
      <c r="B68" s="200" t="s">
        <v>852</v>
      </c>
      <c r="C68" s="258"/>
      <c r="D68" s="258"/>
      <c r="E68" s="258"/>
      <c r="F68" s="258"/>
      <c r="G68" s="258"/>
      <c r="H68" s="158">
        <f t="shared" si="2"/>
        <v>0</v>
      </c>
      <c r="J68" s="562"/>
    </row>
    <row r="69" spans="1:10" ht="12.75">
      <c r="A69" s="193">
        <v>19</v>
      </c>
      <c r="B69" s="200" t="s">
        <v>853</v>
      </c>
      <c r="C69" s="258"/>
      <c r="D69" s="258"/>
      <c r="E69" s="258"/>
      <c r="F69" s="258"/>
      <c r="G69" s="258"/>
      <c r="H69" s="158">
        <f t="shared" si="2"/>
        <v>0</v>
      </c>
      <c r="J69" s="562"/>
    </row>
    <row r="70" spans="1:10" ht="12.75">
      <c r="A70" s="159"/>
      <c r="B70" s="160" t="s">
        <v>638</v>
      </c>
      <c r="C70" s="158">
        <f aca="true" t="shared" si="3" ref="C70:H70">SUM(C51:C69)</f>
        <v>1090</v>
      </c>
      <c r="D70" s="158">
        <f t="shared" si="3"/>
        <v>6940</v>
      </c>
      <c r="E70" s="158">
        <f t="shared" si="3"/>
        <v>0</v>
      </c>
      <c r="F70" s="158">
        <f t="shared" si="3"/>
        <v>6370</v>
      </c>
      <c r="G70" s="158">
        <f t="shared" si="3"/>
        <v>21130</v>
      </c>
      <c r="H70" s="158">
        <f t="shared" si="3"/>
        <v>35530</v>
      </c>
      <c r="I70" s="50"/>
      <c r="J70" s="562"/>
    </row>
    <row r="71" spans="1:8" ht="12.75">
      <c r="A71" s="48"/>
      <c r="B71" s="48"/>
      <c r="C71" s="48"/>
      <c r="D71" s="48"/>
      <c r="E71" s="48"/>
      <c r="F71" s="48"/>
      <c r="G71" s="9"/>
      <c r="H71" s="48"/>
    </row>
    <row r="72" spans="1:9" ht="12.75">
      <c r="A72" s="157" t="s">
        <v>621</v>
      </c>
      <c r="B72" s="157" t="s">
        <v>990</v>
      </c>
      <c r="C72" s="157" t="s">
        <v>639</v>
      </c>
      <c r="D72" s="157" t="s">
        <v>654</v>
      </c>
      <c r="E72" s="157" t="s">
        <v>991</v>
      </c>
      <c r="F72" s="157" t="s">
        <v>655</v>
      </c>
      <c r="G72" s="157" t="s">
        <v>992</v>
      </c>
      <c r="H72" s="157" t="s">
        <v>638</v>
      </c>
      <c r="I72" s="50"/>
    </row>
    <row r="73" spans="1:9" ht="12.75">
      <c r="A73" s="157"/>
      <c r="B73" s="157"/>
      <c r="C73" s="157" t="s">
        <v>997</v>
      </c>
      <c r="D73" s="157" t="s">
        <v>993</v>
      </c>
      <c r="E73" s="157" t="s">
        <v>1005</v>
      </c>
      <c r="F73" s="157" t="s">
        <v>994</v>
      </c>
      <c r="G73" s="157" t="s">
        <v>1006</v>
      </c>
      <c r="H73" s="157"/>
      <c r="I73" s="51"/>
    </row>
    <row r="74" spans="1:8" ht="12.75">
      <c r="A74" s="49" t="s">
        <v>1002</v>
      </c>
      <c r="B74" s="48"/>
      <c r="C74" s="48"/>
      <c r="D74" s="48"/>
      <c r="E74" s="48"/>
      <c r="F74" s="48"/>
      <c r="G74" s="48"/>
      <c r="H74" s="48"/>
    </row>
    <row r="75" spans="1:8" ht="12.75">
      <c r="A75" s="193">
        <v>1</v>
      </c>
      <c r="B75" s="200" t="s">
        <v>854</v>
      </c>
      <c r="C75" s="258"/>
      <c r="D75" s="258"/>
      <c r="E75" s="258"/>
      <c r="F75" s="258"/>
      <c r="G75" s="258"/>
      <c r="H75" s="158">
        <f aca="true" t="shared" si="4" ref="H75:H96">SUM(C75:G75)</f>
        <v>0</v>
      </c>
    </row>
    <row r="76" spans="1:8" ht="12.75">
      <c r="A76" s="193">
        <v>2</v>
      </c>
      <c r="B76" s="200" t="s">
        <v>855</v>
      </c>
      <c r="C76" s="258"/>
      <c r="D76" s="258"/>
      <c r="E76" s="258"/>
      <c r="F76" s="258"/>
      <c r="G76" s="258"/>
      <c r="H76" s="158">
        <f t="shared" si="4"/>
        <v>0</v>
      </c>
    </row>
    <row r="77" spans="1:8" ht="12.75">
      <c r="A77" s="193">
        <v>3</v>
      </c>
      <c r="B77" s="200" t="s">
        <v>856</v>
      </c>
      <c r="C77" s="258">
        <v>5530</v>
      </c>
      <c r="D77" s="258"/>
      <c r="E77" s="258"/>
      <c r="F77" s="258"/>
      <c r="G77" s="258">
        <f>10000-2480</f>
        <v>7520</v>
      </c>
      <c r="H77" s="158">
        <f t="shared" si="4"/>
        <v>13050</v>
      </c>
    </row>
    <row r="78" spans="1:8" ht="12.75">
      <c r="A78" s="193">
        <v>4</v>
      </c>
      <c r="B78" s="200" t="s">
        <v>857</v>
      </c>
      <c r="C78" s="258"/>
      <c r="D78" s="258"/>
      <c r="E78" s="258"/>
      <c r="F78" s="258"/>
      <c r="G78" s="258"/>
      <c r="H78" s="158">
        <f t="shared" si="4"/>
        <v>0</v>
      </c>
    </row>
    <row r="79" spans="1:8" ht="12.75">
      <c r="A79" s="193">
        <v>5</v>
      </c>
      <c r="B79" s="200" t="s">
        <v>858</v>
      </c>
      <c r="C79" s="258"/>
      <c r="D79" s="258">
        <v>660</v>
      </c>
      <c r="E79" s="258"/>
      <c r="F79" s="258"/>
      <c r="G79" s="258">
        <f>1100000-176100</f>
        <v>923900</v>
      </c>
      <c r="H79" s="158">
        <f t="shared" si="4"/>
        <v>924560</v>
      </c>
    </row>
    <row r="80" spans="1:8" ht="12.75">
      <c r="A80" s="193">
        <v>6</v>
      </c>
      <c r="B80" s="200" t="s">
        <v>859</v>
      </c>
      <c r="C80" s="258">
        <v>21520</v>
      </c>
      <c r="D80" s="258"/>
      <c r="E80" s="258"/>
      <c r="F80" s="258"/>
      <c r="G80" s="258"/>
      <c r="H80" s="158">
        <f t="shared" si="4"/>
        <v>21520</v>
      </c>
    </row>
    <row r="81" spans="1:8" ht="12.75">
      <c r="A81" s="193">
        <v>7</v>
      </c>
      <c r="B81" s="200" t="s">
        <v>860</v>
      </c>
      <c r="C81" s="258"/>
      <c r="D81" s="258">
        <v>93070</v>
      </c>
      <c r="E81" s="258"/>
      <c r="F81" s="258"/>
      <c r="G81" s="258"/>
      <c r="H81" s="158">
        <f t="shared" si="4"/>
        <v>93070</v>
      </c>
    </row>
    <row r="82" spans="1:8" ht="12.75">
      <c r="A82" s="193">
        <v>8</v>
      </c>
      <c r="B82" s="200" t="s">
        <v>861</v>
      </c>
      <c r="C82" s="258"/>
      <c r="D82" s="258"/>
      <c r="E82" s="258"/>
      <c r="F82" s="258"/>
      <c r="G82" s="258"/>
      <c r="H82" s="158">
        <f t="shared" si="4"/>
        <v>0</v>
      </c>
    </row>
    <row r="83" spans="1:8" ht="12.75">
      <c r="A83" s="193">
        <v>9</v>
      </c>
      <c r="B83" s="200" t="s">
        <v>862</v>
      </c>
      <c r="C83" s="258">
        <f>8120-2250</f>
        <v>5870</v>
      </c>
      <c r="D83" s="258"/>
      <c r="E83" s="258"/>
      <c r="F83" s="258">
        <v>2000</v>
      </c>
      <c r="G83" s="258">
        <v>4000</v>
      </c>
      <c r="H83" s="158">
        <f t="shared" si="4"/>
        <v>11870</v>
      </c>
    </row>
    <row r="84" spans="1:8" ht="12.75">
      <c r="A84" s="193">
        <v>10</v>
      </c>
      <c r="B84" s="200" t="s">
        <v>863</v>
      </c>
      <c r="C84" s="258">
        <v>1390</v>
      </c>
      <c r="D84" s="258"/>
      <c r="E84" s="258"/>
      <c r="F84" s="258"/>
      <c r="G84" s="258">
        <f>3000-700</f>
        <v>2300</v>
      </c>
      <c r="H84" s="158">
        <f t="shared" si="4"/>
        <v>3690</v>
      </c>
    </row>
    <row r="85" spans="1:8" ht="12.75">
      <c r="A85" s="193">
        <v>11</v>
      </c>
      <c r="B85" s="200" t="s">
        <v>864</v>
      </c>
      <c r="C85" s="258"/>
      <c r="D85" s="258"/>
      <c r="E85" s="258"/>
      <c r="F85" s="258">
        <f>3000-480</f>
        <v>2520</v>
      </c>
      <c r="G85" s="258"/>
      <c r="H85" s="158">
        <f t="shared" si="4"/>
        <v>2520</v>
      </c>
    </row>
    <row r="86" spans="1:8" ht="12.75">
      <c r="A86" s="193">
        <v>12</v>
      </c>
      <c r="B86" s="200" t="s">
        <v>865</v>
      </c>
      <c r="C86" s="258"/>
      <c r="D86" s="258"/>
      <c r="E86" s="258"/>
      <c r="F86" s="258">
        <f>100000-16000</f>
        <v>84000</v>
      </c>
      <c r="G86" s="258"/>
      <c r="H86" s="158">
        <f t="shared" si="4"/>
        <v>84000</v>
      </c>
    </row>
    <row r="87" spans="1:8" ht="12.75">
      <c r="A87" s="193">
        <v>13</v>
      </c>
      <c r="B87" s="200" t="s">
        <v>866</v>
      </c>
      <c r="C87" s="258"/>
      <c r="D87" s="258"/>
      <c r="E87" s="258"/>
      <c r="F87" s="258">
        <f>2000-320</f>
        <v>1680</v>
      </c>
      <c r="G87" s="258"/>
      <c r="H87" s="158">
        <f t="shared" si="4"/>
        <v>1680</v>
      </c>
    </row>
    <row r="88" spans="1:8" ht="12.75">
      <c r="A88" s="193">
        <v>14</v>
      </c>
      <c r="B88" s="200" t="s">
        <v>867</v>
      </c>
      <c r="C88" s="258"/>
      <c r="D88" s="258"/>
      <c r="E88" s="258"/>
      <c r="F88" s="258"/>
      <c r="G88" s="258"/>
      <c r="H88" s="158">
        <f t="shared" si="4"/>
        <v>0</v>
      </c>
    </row>
    <row r="89" spans="1:8" ht="12.75">
      <c r="A89" s="193">
        <v>15</v>
      </c>
      <c r="B89" s="200" t="s">
        <v>868</v>
      </c>
      <c r="C89" s="258"/>
      <c r="D89" s="258"/>
      <c r="E89" s="258"/>
      <c r="F89" s="258"/>
      <c r="G89" s="258"/>
      <c r="H89" s="158">
        <f t="shared" si="4"/>
        <v>0</v>
      </c>
    </row>
    <row r="90" spans="1:8" ht="12.75">
      <c r="A90" s="193">
        <v>16</v>
      </c>
      <c r="B90" s="200" t="s">
        <v>869</v>
      </c>
      <c r="C90" s="258"/>
      <c r="D90" s="258"/>
      <c r="E90" s="258"/>
      <c r="F90" s="258"/>
      <c r="G90" s="258"/>
      <c r="H90" s="158">
        <f t="shared" si="4"/>
        <v>0</v>
      </c>
    </row>
    <row r="91" spans="1:8" ht="12.75">
      <c r="A91" s="193">
        <v>17</v>
      </c>
      <c r="B91" s="200" t="s">
        <v>870</v>
      </c>
      <c r="C91" s="258"/>
      <c r="D91" s="258"/>
      <c r="E91" s="258"/>
      <c r="F91" s="258">
        <v>1200</v>
      </c>
      <c r="G91" s="258">
        <f>40000-6590</f>
        <v>33410</v>
      </c>
      <c r="H91" s="158">
        <f t="shared" si="4"/>
        <v>34610</v>
      </c>
    </row>
    <row r="92" spans="1:8" ht="12.75">
      <c r="A92" s="193">
        <v>18</v>
      </c>
      <c r="B92" s="200" t="s">
        <v>871</v>
      </c>
      <c r="C92" s="258"/>
      <c r="D92" s="258"/>
      <c r="E92" s="258"/>
      <c r="F92" s="258"/>
      <c r="G92" s="258"/>
      <c r="H92" s="158">
        <f t="shared" si="4"/>
        <v>0</v>
      </c>
    </row>
    <row r="93" spans="1:8" ht="12.75">
      <c r="A93" s="193">
        <v>19</v>
      </c>
      <c r="B93" s="200" t="s">
        <v>872</v>
      </c>
      <c r="C93" s="258"/>
      <c r="D93" s="258"/>
      <c r="E93" s="258"/>
      <c r="F93" s="258"/>
      <c r="G93" s="258"/>
      <c r="H93" s="158">
        <f t="shared" si="4"/>
        <v>0</v>
      </c>
    </row>
    <row r="94" spans="1:8" ht="12.75">
      <c r="A94" s="193">
        <v>20</v>
      </c>
      <c r="B94" s="200" t="s">
        <v>873</v>
      </c>
      <c r="C94" s="258"/>
      <c r="D94" s="258"/>
      <c r="E94" s="258"/>
      <c r="F94" s="258"/>
      <c r="G94" s="258"/>
      <c r="H94" s="158">
        <f t="shared" si="4"/>
        <v>0</v>
      </c>
    </row>
    <row r="95" spans="1:8" ht="12.75">
      <c r="A95" s="193">
        <v>21</v>
      </c>
      <c r="B95" s="200" t="s">
        <v>874</v>
      </c>
      <c r="C95" s="258">
        <v>7000</v>
      </c>
      <c r="D95" s="258">
        <v>1700</v>
      </c>
      <c r="E95" s="258"/>
      <c r="F95" s="258">
        <v>7800</v>
      </c>
      <c r="G95" s="258">
        <f>15000-5040</f>
        <v>9960</v>
      </c>
      <c r="H95" s="158">
        <f t="shared" si="4"/>
        <v>26460</v>
      </c>
    </row>
    <row r="96" spans="1:8" ht="12.75">
      <c r="A96" s="193" t="s">
        <v>106</v>
      </c>
      <c r="B96" s="200" t="s">
        <v>107</v>
      </c>
      <c r="C96" s="258"/>
      <c r="D96" s="258"/>
      <c r="E96" s="258"/>
      <c r="F96" s="258">
        <f>90500-10160</f>
        <v>80340</v>
      </c>
      <c r="G96" s="258">
        <f>48000-10000</f>
        <v>38000</v>
      </c>
      <c r="H96" s="158">
        <f t="shared" si="4"/>
        <v>118340</v>
      </c>
    </row>
    <row r="97" spans="1:9" ht="12.75">
      <c r="A97" s="159"/>
      <c r="B97" s="160" t="s">
        <v>638</v>
      </c>
      <c r="C97" s="158">
        <f aca="true" t="shared" si="5" ref="C97:H97">SUM(C75:C96)</f>
        <v>41310</v>
      </c>
      <c r="D97" s="158">
        <f t="shared" si="5"/>
        <v>95430</v>
      </c>
      <c r="E97" s="158">
        <f t="shared" si="5"/>
        <v>0</v>
      </c>
      <c r="F97" s="158">
        <f t="shared" si="5"/>
        <v>179540</v>
      </c>
      <c r="G97" s="158">
        <f t="shared" si="5"/>
        <v>1019090</v>
      </c>
      <c r="H97" s="158">
        <f t="shared" si="5"/>
        <v>1335370</v>
      </c>
      <c r="I97" s="50"/>
    </row>
    <row r="98" spans="1:8" ht="12.75">
      <c r="A98" s="48"/>
      <c r="B98" s="48"/>
      <c r="C98" s="48"/>
      <c r="D98" s="48"/>
      <c r="E98" s="48"/>
      <c r="F98" s="9"/>
      <c r="G98" s="57" t="s">
        <v>363</v>
      </c>
      <c r="H98" s="48"/>
    </row>
    <row r="99" spans="1:8" ht="12.75">
      <c r="A99" s="764" t="s">
        <v>383</v>
      </c>
      <c r="B99" s="764"/>
      <c r="C99" s="764"/>
      <c r="D99" s="764"/>
      <c r="E99" s="764"/>
      <c r="F99" s="764"/>
      <c r="G99" s="764"/>
      <c r="H99" s="764"/>
    </row>
    <row r="100" spans="1:8" ht="12.75">
      <c r="A100" s="53" t="s">
        <v>989</v>
      </c>
      <c r="B100" s="14" t="s">
        <v>639</v>
      </c>
      <c r="C100" s="48"/>
      <c r="D100" s="48"/>
      <c r="E100" s="48"/>
      <c r="F100" s="48"/>
      <c r="G100" s="48"/>
      <c r="H100" s="48"/>
    </row>
    <row r="101" spans="1:8" ht="12.75">
      <c r="A101" s="764" t="s">
        <v>1013</v>
      </c>
      <c r="B101" s="764"/>
      <c r="C101" s="764"/>
      <c r="D101" s="764"/>
      <c r="E101" s="764"/>
      <c r="F101" s="764"/>
      <c r="G101" s="764"/>
      <c r="H101" s="764"/>
    </row>
    <row r="102" spans="1:8" ht="12.75">
      <c r="A102" s="48"/>
      <c r="B102" s="48"/>
      <c r="C102" s="48"/>
      <c r="D102" s="48"/>
      <c r="E102" s="48"/>
      <c r="F102" s="48"/>
      <c r="G102" s="48"/>
      <c r="H102" s="48"/>
    </row>
    <row r="103" spans="1:9" ht="12.75">
      <c r="A103" s="157" t="s">
        <v>621</v>
      </c>
      <c r="B103" s="157" t="s">
        <v>1016</v>
      </c>
      <c r="C103" s="157" t="s">
        <v>639</v>
      </c>
      <c r="D103" s="157" t="s">
        <v>654</v>
      </c>
      <c r="E103" s="157" t="s">
        <v>991</v>
      </c>
      <c r="F103" s="157" t="s">
        <v>655</v>
      </c>
      <c r="G103" s="157" t="s">
        <v>992</v>
      </c>
      <c r="H103" s="157" t="s">
        <v>638</v>
      </c>
      <c r="I103" s="50"/>
    </row>
    <row r="104" spans="1:9" ht="12.75">
      <c r="A104" s="157"/>
      <c r="B104" s="157"/>
      <c r="C104" s="157" t="s">
        <v>997</v>
      </c>
      <c r="D104" s="157" t="s">
        <v>993</v>
      </c>
      <c r="E104" s="157" t="s">
        <v>1005</v>
      </c>
      <c r="F104" s="157" t="s">
        <v>994</v>
      </c>
      <c r="G104" s="157" t="s">
        <v>1006</v>
      </c>
      <c r="H104" s="157"/>
      <c r="I104" s="51"/>
    </row>
    <row r="105" spans="1:8" ht="12.75">
      <c r="A105" s="49" t="s">
        <v>1003</v>
      </c>
      <c r="B105" s="48"/>
      <c r="C105" s="48"/>
      <c r="D105" s="48"/>
      <c r="E105" s="48"/>
      <c r="F105" s="48"/>
      <c r="G105" s="48"/>
      <c r="H105" s="48"/>
    </row>
    <row r="106" spans="1:8" ht="12.75">
      <c r="A106" s="193">
        <v>1</v>
      </c>
      <c r="B106" s="200" t="s">
        <v>875</v>
      </c>
      <c r="C106" s="258"/>
      <c r="D106" s="258"/>
      <c r="E106" s="258"/>
      <c r="F106" s="258"/>
      <c r="G106" s="258"/>
      <c r="H106" s="158">
        <f aca="true" t="shared" si="6" ref="H106:H116">SUM(C106:G106)</f>
        <v>0</v>
      </c>
    </row>
    <row r="107" spans="1:8" ht="12.75">
      <c r="A107" s="193">
        <v>2</v>
      </c>
      <c r="B107" s="200" t="s">
        <v>876</v>
      </c>
      <c r="C107" s="258"/>
      <c r="D107" s="258"/>
      <c r="E107" s="258"/>
      <c r="F107" s="258"/>
      <c r="G107" s="258"/>
      <c r="H107" s="158">
        <f t="shared" si="6"/>
        <v>0</v>
      </c>
    </row>
    <row r="108" spans="1:8" ht="12.75">
      <c r="A108" s="193">
        <v>3</v>
      </c>
      <c r="B108" s="200" t="s">
        <v>877</v>
      </c>
      <c r="C108" s="258"/>
      <c r="D108" s="258"/>
      <c r="E108" s="258"/>
      <c r="F108" s="258"/>
      <c r="G108" s="258"/>
      <c r="H108" s="158">
        <f t="shared" si="6"/>
        <v>0</v>
      </c>
    </row>
    <row r="109" spans="1:8" ht="12.75">
      <c r="A109" s="193">
        <v>4</v>
      </c>
      <c r="B109" s="200" t="s">
        <v>878</v>
      </c>
      <c r="C109" s="258"/>
      <c r="D109" s="258"/>
      <c r="E109" s="258"/>
      <c r="F109" s="258"/>
      <c r="G109" s="258"/>
      <c r="H109" s="158">
        <f t="shared" si="6"/>
        <v>0</v>
      </c>
    </row>
    <row r="110" spans="1:8" ht="12.75">
      <c r="A110" s="193">
        <v>5</v>
      </c>
      <c r="B110" s="200" t="s">
        <v>879</v>
      </c>
      <c r="C110" s="258"/>
      <c r="D110" s="258"/>
      <c r="E110" s="258"/>
      <c r="F110" s="258"/>
      <c r="G110" s="258"/>
      <c r="H110" s="158">
        <f t="shared" si="6"/>
        <v>0</v>
      </c>
    </row>
    <row r="111" spans="1:8" ht="12.75">
      <c r="A111" s="193">
        <v>6</v>
      </c>
      <c r="B111" s="200" t="s">
        <v>880</v>
      </c>
      <c r="C111" s="258"/>
      <c r="D111" s="258"/>
      <c r="E111" s="258"/>
      <c r="F111" s="258"/>
      <c r="G111" s="258"/>
      <c r="H111" s="158">
        <f t="shared" si="6"/>
        <v>0</v>
      </c>
    </row>
    <row r="112" spans="1:8" ht="12.75">
      <c r="A112" s="193">
        <v>7</v>
      </c>
      <c r="B112" s="200" t="s">
        <v>893</v>
      </c>
      <c r="C112" s="258"/>
      <c r="D112" s="258"/>
      <c r="E112" s="258"/>
      <c r="F112" s="258">
        <f>850-130</f>
        <v>720</v>
      </c>
      <c r="G112" s="258"/>
      <c r="H112" s="158">
        <f t="shared" si="6"/>
        <v>720</v>
      </c>
    </row>
    <row r="113" spans="1:8" ht="12.75">
      <c r="A113" s="193">
        <v>8</v>
      </c>
      <c r="B113" s="200" t="s">
        <v>894</v>
      </c>
      <c r="C113" s="258"/>
      <c r="D113" s="258"/>
      <c r="E113" s="258"/>
      <c r="F113" s="258">
        <f>2500-640</f>
        <v>1860</v>
      </c>
      <c r="G113" s="258">
        <v>1500</v>
      </c>
      <c r="H113" s="158">
        <f t="shared" si="6"/>
        <v>3360</v>
      </c>
    </row>
    <row r="114" spans="1:8" ht="12.75">
      <c r="A114" s="193">
        <v>9</v>
      </c>
      <c r="B114" s="200" t="s">
        <v>897</v>
      </c>
      <c r="C114" s="258"/>
      <c r="D114" s="258"/>
      <c r="E114" s="258"/>
      <c r="F114" s="258"/>
      <c r="G114" s="258"/>
      <c r="H114" s="158">
        <f t="shared" si="6"/>
        <v>0</v>
      </c>
    </row>
    <row r="115" spans="1:8" ht="12.75">
      <c r="A115" s="193">
        <v>10</v>
      </c>
      <c r="B115" s="200" t="s">
        <v>895</v>
      </c>
      <c r="C115" s="258"/>
      <c r="D115" s="258"/>
      <c r="E115" s="258"/>
      <c r="F115" s="258">
        <f>3000-480</f>
        <v>2520</v>
      </c>
      <c r="G115" s="258"/>
      <c r="H115" s="158">
        <f t="shared" si="6"/>
        <v>2520</v>
      </c>
    </row>
    <row r="116" spans="1:8" ht="12.75">
      <c r="A116" s="193" t="s">
        <v>911</v>
      </c>
      <c r="B116" s="200" t="s">
        <v>896</v>
      </c>
      <c r="C116" s="258"/>
      <c r="D116" s="258"/>
      <c r="E116" s="258"/>
      <c r="F116" s="258"/>
      <c r="G116" s="258"/>
      <c r="H116" s="158">
        <f t="shared" si="6"/>
        <v>0</v>
      </c>
    </row>
    <row r="117" spans="1:9" ht="12.75">
      <c r="A117" s="159"/>
      <c r="B117" s="160" t="s">
        <v>638</v>
      </c>
      <c r="C117" s="158">
        <f aca="true" t="shared" si="7" ref="C117:H117">SUM(C106:C116)</f>
        <v>0</v>
      </c>
      <c r="D117" s="158">
        <f t="shared" si="7"/>
        <v>0</v>
      </c>
      <c r="E117" s="158">
        <f t="shared" si="7"/>
        <v>0</v>
      </c>
      <c r="F117" s="158">
        <f t="shared" si="7"/>
        <v>5100</v>
      </c>
      <c r="G117" s="158">
        <f t="shared" si="7"/>
        <v>1500</v>
      </c>
      <c r="H117" s="158">
        <f t="shared" si="7"/>
        <v>6600</v>
      </c>
      <c r="I117" s="50"/>
    </row>
  </sheetData>
  <sheetProtection/>
  <mergeCells count="6">
    <mergeCell ref="A99:H99"/>
    <mergeCell ref="A101:H101"/>
    <mergeCell ref="A46:H46"/>
    <mergeCell ref="A2:H2"/>
    <mergeCell ref="A4:H4"/>
    <mergeCell ref="A44:H44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75" r:id="rId1"/>
  <rowBreaks count="2" manualBreakCount="2">
    <brk id="42" max="255" man="1"/>
    <brk id="9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C2">
      <selection activeCell="L26" sqref="L26"/>
    </sheetView>
  </sheetViews>
  <sheetFormatPr defaultColWidth="11.421875" defaultRowHeight="12.75"/>
  <cols>
    <col min="1" max="1" width="37.8515625" style="0" customWidth="1"/>
    <col min="2" max="2" width="15.00390625" style="0" bestFit="1" customWidth="1"/>
    <col min="3" max="3" width="12.57421875" style="0" bestFit="1" customWidth="1"/>
    <col min="4" max="4" width="16.28125" style="0" bestFit="1" customWidth="1"/>
    <col min="5" max="5" width="13.00390625" style="0" customWidth="1"/>
    <col min="6" max="6" width="13.421875" style="0" bestFit="1" customWidth="1"/>
    <col min="7" max="7" width="13.421875" style="0" customWidth="1"/>
    <col min="8" max="8" width="13.421875" style="0" bestFit="1" customWidth="1"/>
    <col min="9" max="9" width="13.28125" style="0" bestFit="1" customWidth="1"/>
    <col min="10" max="10" width="12.57421875" style="0" bestFit="1" customWidth="1"/>
    <col min="11" max="11" width="13.28125" style="0" bestFit="1" customWidth="1"/>
  </cols>
  <sheetData>
    <row r="1" spans="1:11" ht="12.75">
      <c r="A1" s="54"/>
      <c r="B1" s="48"/>
      <c r="C1" s="48"/>
      <c r="D1" s="48"/>
      <c r="E1" s="48"/>
      <c r="F1" s="48"/>
      <c r="G1" s="48"/>
      <c r="H1" s="48"/>
      <c r="I1" s="48"/>
      <c r="J1" s="57" t="s">
        <v>363</v>
      </c>
      <c r="K1" s="48"/>
    </row>
    <row r="2" spans="1:11" ht="15">
      <c r="A2" s="761" t="s">
        <v>382</v>
      </c>
      <c r="B2" s="761"/>
      <c r="C2" s="761"/>
      <c r="D2" s="761"/>
      <c r="E2" s="761"/>
      <c r="F2" s="761"/>
      <c r="G2" s="761"/>
      <c r="H2" s="761"/>
      <c r="I2" s="761"/>
      <c r="J2" s="761"/>
      <c r="K2" s="48"/>
    </row>
    <row r="3" spans="1:1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2.75">
      <c r="A4" s="764" t="s">
        <v>636</v>
      </c>
      <c r="B4" s="764"/>
      <c r="C4" s="764"/>
      <c r="D4" s="764"/>
      <c r="E4" s="764"/>
      <c r="F4" s="764"/>
      <c r="G4" s="764"/>
      <c r="H4" s="764"/>
      <c r="I4" s="764"/>
      <c r="J4" s="764"/>
      <c r="K4" s="48"/>
    </row>
    <row r="5" spans="1:11" ht="12.75">
      <c r="A5" s="764" t="s">
        <v>694</v>
      </c>
      <c r="B5" s="764"/>
      <c r="C5" s="764"/>
      <c r="D5" s="764"/>
      <c r="E5" s="764"/>
      <c r="F5" s="764"/>
      <c r="G5" s="764"/>
      <c r="H5" s="764"/>
      <c r="I5" s="764"/>
      <c r="J5" s="764"/>
      <c r="K5" s="48"/>
    </row>
    <row r="6" spans="1:11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2.75" customHeight="1" thickBot="1">
      <c r="A7" s="179" t="s">
        <v>536</v>
      </c>
      <c r="B7" s="242" t="s">
        <v>638</v>
      </c>
      <c r="C7" s="179" t="s">
        <v>695</v>
      </c>
      <c r="D7" s="179" t="s">
        <v>93</v>
      </c>
      <c r="E7" s="179" t="s">
        <v>696</v>
      </c>
      <c r="F7" s="179" t="s">
        <v>697</v>
      </c>
      <c r="G7" s="179" t="s">
        <v>78</v>
      </c>
      <c r="H7" s="179" t="s">
        <v>756</v>
      </c>
      <c r="I7" s="179" t="s">
        <v>718</v>
      </c>
      <c r="J7" s="179" t="s">
        <v>934</v>
      </c>
      <c r="K7" s="179" t="s">
        <v>84</v>
      </c>
    </row>
    <row r="8" spans="1:11" s="14" customFormat="1" ht="13.5" thickBot="1">
      <c r="A8" s="35"/>
      <c r="B8" s="36"/>
      <c r="C8" s="36">
        <v>211</v>
      </c>
      <c r="D8" s="36">
        <v>221</v>
      </c>
      <c r="E8" s="36">
        <v>231</v>
      </c>
      <c r="F8" s="36">
        <v>241</v>
      </c>
      <c r="G8" s="36">
        <v>251</v>
      </c>
      <c r="H8" s="36">
        <v>261</v>
      </c>
      <c r="I8" s="36" t="s">
        <v>154</v>
      </c>
      <c r="J8" s="36" t="s">
        <v>79</v>
      </c>
      <c r="K8" s="36" t="s">
        <v>94</v>
      </c>
    </row>
    <row r="9" spans="1:11" ht="13.5" thickBot="1">
      <c r="A9" s="185" t="s">
        <v>539</v>
      </c>
      <c r="B9" s="251">
        <f aca="true" t="shared" si="0" ref="B9:H9">+SUM(B11:B14)</f>
        <v>26144244.653</v>
      </c>
      <c r="C9" s="186">
        <f t="shared" si="0"/>
        <v>1474530</v>
      </c>
      <c r="D9" s="186">
        <f t="shared" si="0"/>
        <v>2457240</v>
      </c>
      <c r="E9" s="186">
        <f t="shared" si="0"/>
        <v>2122780</v>
      </c>
      <c r="F9" s="186">
        <f>+SUM(F11:F14)</f>
        <v>3565160</v>
      </c>
      <c r="G9" s="186">
        <f t="shared" si="0"/>
        <v>2373410</v>
      </c>
      <c r="H9" s="186">
        <f t="shared" si="0"/>
        <v>8828520</v>
      </c>
      <c r="I9" s="186">
        <f>+SUM(I11:I14)</f>
        <v>2479940</v>
      </c>
      <c r="J9" s="186">
        <f>+SUM(J11:J14)</f>
        <v>2372234.653</v>
      </c>
      <c r="K9" s="186">
        <f>+SUM(K11:K14)</f>
        <v>470430</v>
      </c>
    </row>
    <row r="10" spans="1:11" ht="12.75">
      <c r="A10" s="64"/>
      <c r="B10" s="248"/>
      <c r="C10" s="265"/>
      <c r="D10" s="265"/>
      <c r="E10" s="265"/>
      <c r="F10" s="265"/>
      <c r="G10" s="265"/>
      <c r="H10" s="265"/>
      <c r="I10" s="265"/>
      <c r="J10" s="265"/>
      <c r="K10" s="265"/>
    </row>
    <row r="11" spans="1:11" ht="12.75">
      <c r="A11" s="163" t="s">
        <v>644</v>
      </c>
      <c r="B11" s="249">
        <f>+SUM(C11:K11)</f>
        <v>18173104.653</v>
      </c>
      <c r="C11" s="263">
        <f>+'Gob juris'!G8</f>
        <v>920240</v>
      </c>
      <c r="D11" s="263">
        <f>+'Gob juris'!G36</f>
        <v>2232100</v>
      </c>
      <c r="E11" s="263">
        <f>+'Gob juris'!G64</f>
        <v>1612710</v>
      </c>
      <c r="F11" s="263">
        <f>+'Gob juris'!G93</f>
        <v>1732160</v>
      </c>
      <c r="G11" s="263">
        <f>+'Gob juris'!G121</f>
        <v>1842850</v>
      </c>
      <c r="H11" s="263">
        <f>+'Gob juris'!G150</f>
        <v>6984610</v>
      </c>
      <c r="I11" s="263">
        <f>+'Gob juris'!G178</f>
        <v>571030</v>
      </c>
      <c r="J11" s="263">
        <f>+'Gob juris'!G207</f>
        <v>2001614.653</v>
      </c>
      <c r="K11" s="263">
        <f>+'Gob juris'!G235</f>
        <v>275790</v>
      </c>
    </row>
    <row r="12" spans="1:11" ht="12.75">
      <c r="A12" s="163" t="s">
        <v>645</v>
      </c>
      <c r="B12" s="249">
        <f>+SUM(C12:K12)</f>
        <v>787870</v>
      </c>
      <c r="C12" s="263">
        <f>+'Gob juris'!G11</f>
        <v>75670</v>
      </c>
      <c r="D12" s="263">
        <f>+'Gob juris'!G39</f>
        <v>80200</v>
      </c>
      <c r="E12" s="263">
        <f>+'Gob juris'!G67</f>
        <v>76250</v>
      </c>
      <c r="F12" s="263">
        <f>+'Gob juris'!G96</f>
        <v>157280</v>
      </c>
      <c r="G12" s="263">
        <f>+'Gob juris'!G124</f>
        <v>12630</v>
      </c>
      <c r="H12" s="263">
        <f>+'Gob juris'!G153</f>
        <v>276980</v>
      </c>
      <c r="I12" s="263">
        <f>+'Gob juris'!G181</f>
        <v>33280</v>
      </c>
      <c r="J12" s="263">
        <f>+'Gob juris'!G210</f>
        <v>60650</v>
      </c>
      <c r="K12" s="263">
        <f>+'Gob juris'!G238</f>
        <v>14930</v>
      </c>
    </row>
    <row r="13" spans="1:11" ht="12.75">
      <c r="A13" s="163" t="s">
        <v>646</v>
      </c>
      <c r="B13" s="249">
        <f>+SUM(C13:K13)</f>
        <v>5727400</v>
      </c>
      <c r="C13" s="263">
        <f>+'Gob juris'!G12</f>
        <v>478620</v>
      </c>
      <c r="D13" s="263">
        <f>+'Gob juris'!G40</f>
        <v>144940</v>
      </c>
      <c r="E13" s="263">
        <f>+'Gob juris'!G68</f>
        <v>433820</v>
      </c>
      <c r="F13" s="263">
        <f>+'Gob juris'!G97</f>
        <v>1675720</v>
      </c>
      <c r="G13" s="263">
        <f>+'Gob juris'!G125</f>
        <v>317930</v>
      </c>
      <c r="H13" s="263">
        <f>+'Gob juris'!G154</f>
        <v>1566930</v>
      </c>
      <c r="I13" s="263">
        <f>+'Gob juris'!G182</f>
        <v>646360</v>
      </c>
      <c r="J13" s="263">
        <f>+'Gob juris'!G211</f>
        <v>283370</v>
      </c>
      <c r="K13" s="263">
        <f>+'Gob juris'!G239</f>
        <v>179710</v>
      </c>
    </row>
    <row r="14" spans="1:11" ht="12.75">
      <c r="A14" s="163" t="s">
        <v>648</v>
      </c>
      <c r="B14" s="249">
        <f>+SUM(C14:K14)</f>
        <v>1455870</v>
      </c>
      <c r="C14" s="263">
        <f>+'Gob juris'!G15</f>
        <v>0</v>
      </c>
      <c r="D14" s="263"/>
      <c r="E14" s="263"/>
      <c r="F14" s="263">
        <f>+'Gob juris'!G101</f>
        <v>0</v>
      </c>
      <c r="G14" s="263">
        <f>+'Gob juris'!G128</f>
        <v>200000</v>
      </c>
      <c r="H14" s="263"/>
      <c r="I14" s="263">
        <f>+'Gob juris'!G186</f>
        <v>1229270</v>
      </c>
      <c r="J14" s="263">
        <f>+'Gob juris'!G215</f>
        <v>26600</v>
      </c>
      <c r="K14" s="263"/>
    </row>
    <row r="15" spans="1:11" ht="13.5" thickBot="1">
      <c r="A15" s="64"/>
      <c r="B15" s="250"/>
      <c r="C15" s="274"/>
      <c r="D15" s="274"/>
      <c r="E15" s="274"/>
      <c r="F15" s="274"/>
      <c r="G15" s="274"/>
      <c r="H15" s="274"/>
      <c r="I15" s="274"/>
      <c r="J15" s="274"/>
      <c r="K15" s="274"/>
    </row>
    <row r="16" spans="1:11" ht="13.5" thickBot="1">
      <c r="A16" s="185" t="s">
        <v>548</v>
      </c>
      <c r="B16" s="251">
        <f aca="true" t="shared" si="1" ref="B16:H16">+SUM(B18:B18)</f>
        <v>716390</v>
      </c>
      <c r="C16" s="186">
        <f t="shared" si="1"/>
        <v>103410</v>
      </c>
      <c r="D16" s="186">
        <f t="shared" si="1"/>
        <v>91060</v>
      </c>
      <c r="E16" s="186">
        <f t="shared" si="1"/>
        <v>4040</v>
      </c>
      <c r="F16" s="186">
        <f t="shared" si="1"/>
        <v>86840</v>
      </c>
      <c r="G16" s="186">
        <f t="shared" si="1"/>
        <v>5810</v>
      </c>
      <c r="H16" s="186">
        <f t="shared" si="1"/>
        <v>294760</v>
      </c>
      <c r="I16" s="186">
        <f>+SUM(I18:I19)</f>
        <v>78220</v>
      </c>
      <c r="J16" s="186">
        <f>+SUM(J18:J18)</f>
        <v>22350</v>
      </c>
      <c r="K16" s="186">
        <f>+SUM(K18:K18)</f>
        <v>29900</v>
      </c>
    </row>
    <row r="17" spans="1:11" ht="12.75">
      <c r="A17" s="64"/>
      <c r="B17" s="249"/>
      <c r="C17" s="275"/>
      <c r="D17" s="275"/>
      <c r="E17" s="275"/>
      <c r="F17" s="275"/>
      <c r="G17" s="275"/>
      <c r="H17" s="275"/>
      <c r="I17" s="275"/>
      <c r="J17" s="275"/>
      <c r="K17" s="275"/>
    </row>
    <row r="18" spans="1:11" ht="12.75">
      <c r="A18" s="255" t="s">
        <v>649</v>
      </c>
      <c r="B18" s="249">
        <f>+SUM(C18:K18)</f>
        <v>716390</v>
      </c>
      <c r="C18" s="263">
        <f>+'Gob juris'!G19</f>
        <v>103410</v>
      </c>
      <c r="D18" s="263">
        <f>+'Gob juris'!G47</f>
        <v>91060</v>
      </c>
      <c r="E18" s="263">
        <f>+'Gob juris'!G75</f>
        <v>4040</v>
      </c>
      <c r="F18" s="263">
        <f>+'Gob juris'!G104</f>
        <v>86840</v>
      </c>
      <c r="G18" s="263">
        <f>+'Gob juris'!G132</f>
        <v>5810</v>
      </c>
      <c r="H18" s="263">
        <f>+'Gob juris'!G161</f>
        <v>294760</v>
      </c>
      <c r="I18" s="263">
        <f>+'Gob juris'!G189</f>
        <v>78220</v>
      </c>
      <c r="J18" s="263">
        <f>+'Gob juris'!G218</f>
        <v>22350</v>
      </c>
      <c r="K18" s="263">
        <f>+'Gob juris'!G246</f>
        <v>29900</v>
      </c>
    </row>
    <row r="19" spans="1:11" ht="13.5" thickBot="1">
      <c r="A19" s="64"/>
      <c r="B19" s="249"/>
      <c r="C19" s="274"/>
      <c r="D19" s="274"/>
      <c r="E19" s="274"/>
      <c r="F19" s="274"/>
      <c r="G19" s="274"/>
      <c r="H19" s="274"/>
      <c r="I19" s="274"/>
      <c r="J19" s="274"/>
      <c r="K19" s="274"/>
    </row>
    <row r="20" spans="1:11" ht="13.5" thickBot="1">
      <c r="A20" s="185" t="s">
        <v>553</v>
      </c>
      <c r="B20" s="251">
        <f aca="true" t="shared" si="2" ref="B20:H20">+SUM(B22:B22)</f>
        <v>0</v>
      </c>
      <c r="C20" s="186">
        <f t="shared" si="2"/>
        <v>0</v>
      </c>
      <c r="D20" s="186">
        <f t="shared" si="2"/>
        <v>0</v>
      </c>
      <c r="E20" s="186">
        <f t="shared" si="2"/>
        <v>0</v>
      </c>
      <c r="F20" s="186">
        <f t="shared" si="2"/>
        <v>0</v>
      </c>
      <c r="G20" s="186">
        <f t="shared" si="2"/>
        <v>0</v>
      </c>
      <c r="H20" s="186">
        <f t="shared" si="2"/>
        <v>0</v>
      </c>
      <c r="I20" s="186">
        <f>+SUM(I21:I21)</f>
        <v>0</v>
      </c>
      <c r="J20" s="186">
        <f>+SUM(J22:J22)</f>
        <v>0</v>
      </c>
      <c r="K20" s="186">
        <f>+SUM(K22:K22)</f>
        <v>0</v>
      </c>
    </row>
    <row r="21" spans="1:11" ht="12.75">
      <c r="A21" s="64"/>
      <c r="B21" s="249"/>
      <c r="C21" s="275"/>
      <c r="D21" s="275"/>
      <c r="E21" s="275"/>
      <c r="F21" s="275"/>
      <c r="G21" s="275"/>
      <c r="H21" s="275"/>
      <c r="I21" s="275"/>
      <c r="J21" s="275"/>
      <c r="K21" s="275"/>
    </row>
    <row r="22" spans="1:11" ht="12.75">
      <c r="A22" s="163" t="s">
        <v>652</v>
      </c>
      <c r="B22" s="249">
        <f>+SUM(C22:K22)</f>
        <v>0</v>
      </c>
      <c r="C22" s="263"/>
      <c r="D22" s="263"/>
      <c r="E22" s="263"/>
      <c r="F22" s="263"/>
      <c r="G22" s="263"/>
      <c r="H22" s="263"/>
      <c r="I22" s="263"/>
      <c r="J22" s="263"/>
      <c r="K22" s="263"/>
    </row>
    <row r="23" spans="1:11" ht="13.5" thickBot="1">
      <c r="A23" s="64"/>
      <c r="B23" s="249"/>
      <c r="C23" s="266"/>
      <c r="D23" s="266"/>
      <c r="E23" s="266"/>
      <c r="F23" s="266"/>
      <c r="G23" s="266"/>
      <c r="H23" s="266"/>
      <c r="I23" s="266"/>
      <c r="J23" s="266"/>
      <c r="K23" s="266"/>
    </row>
    <row r="24" spans="1:11" ht="13.5" thickBot="1">
      <c r="A24" s="273" t="s">
        <v>561</v>
      </c>
      <c r="B24" s="184">
        <f aca="true" t="shared" si="3" ref="B24:H24">+B9+B16+B20</f>
        <v>26860634.653</v>
      </c>
      <c r="C24" s="184">
        <f t="shared" si="3"/>
        <v>1577940</v>
      </c>
      <c r="D24" s="184">
        <f t="shared" si="3"/>
        <v>2548300</v>
      </c>
      <c r="E24" s="184">
        <f t="shared" si="3"/>
        <v>2126820</v>
      </c>
      <c r="F24" s="184">
        <f t="shared" si="3"/>
        <v>3652000</v>
      </c>
      <c r="G24" s="184">
        <f t="shared" si="3"/>
        <v>2379220</v>
      </c>
      <c r="H24" s="184">
        <f t="shared" si="3"/>
        <v>9123280</v>
      </c>
      <c r="I24" s="184">
        <f>+I9+I16+I20</f>
        <v>2558160</v>
      </c>
      <c r="J24" s="184">
        <f>+J9+J16+J20</f>
        <v>2394584.653</v>
      </c>
      <c r="K24" s="184">
        <f>+K9+K16+K20</f>
        <v>500330</v>
      </c>
    </row>
    <row r="25" ht="12.75">
      <c r="I25" s="3"/>
    </row>
    <row r="26" spans="2:9" ht="12.75">
      <c r="B26" s="1"/>
      <c r="I26" s="4"/>
    </row>
    <row r="27" spans="2:11" ht="12.75">
      <c r="B27" s="3"/>
      <c r="C27" s="3"/>
      <c r="D27" s="3"/>
      <c r="E27" s="3"/>
      <c r="F27" s="3"/>
      <c r="G27" s="3"/>
      <c r="H27" s="3"/>
      <c r="I27" s="5"/>
      <c r="J27" s="3"/>
      <c r="K27" s="3"/>
    </row>
    <row r="28" spans="1:11" ht="12.75">
      <c r="A28" s="8"/>
      <c r="B28" s="4"/>
      <c r="C28" s="4"/>
      <c r="D28" s="4"/>
      <c r="E28" s="4"/>
      <c r="F28" s="4"/>
      <c r="G28" s="4"/>
      <c r="H28" s="4"/>
      <c r="J28" s="4"/>
      <c r="K28" s="4"/>
    </row>
    <row r="29" spans="2:11" ht="12.75">
      <c r="B29" s="5"/>
      <c r="C29" s="5"/>
      <c r="D29" s="5"/>
      <c r="E29" s="5"/>
      <c r="F29" s="5"/>
      <c r="G29" s="5"/>
      <c r="H29" s="5"/>
      <c r="J29" s="5"/>
      <c r="K29" s="5"/>
    </row>
  </sheetData>
  <sheetProtection/>
  <mergeCells count="3">
    <mergeCell ref="A2:J2"/>
    <mergeCell ref="A4:J4"/>
    <mergeCell ref="A5:J5"/>
  </mergeCells>
  <printOptions horizontalCentered="1"/>
  <pageMargins left="0.1968503937007874" right="0.1968503937007874" top="0.5905511811023623" bottom="0.3937007874015748" header="0.1968503937007874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Godoy 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Presupuesto</dc:creator>
  <cp:keywords/>
  <dc:description/>
  <cp:lastModifiedBy>Roberto Pérez</cp:lastModifiedBy>
  <cp:lastPrinted>2008-01-09T13:47:31Z</cp:lastPrinted>
  <dcterms:created xsi:type="dcterms:W3CDTF">2001-08-16T16:42:38Z</dcterms:created>
  <dcterms:modified xsi:type="dcterms:W3CDTF">2014-07-21T14:04:01Z</dcterms:modified>
  <cp:category/>
  <cp:version/>
  <cp:contentType/>
  <cp:contentStatus/>
</cp:coreProperties>
</file>